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99" activeTab="0"/>
  </bookViews>
  <sheets>
    <sheet name="МЕНЮ" sheetId="1" r:id="rId1"/>
    <sheet name="список" sheetId="2" r:id="rId2"/>
    <sheet name="311" sheetId="3" r:id="rId3"/>
    <sheet name="301" sheetId="4" r:id="rId4"/>
    <sheet name="372 " sheetId="5" r:id="rId5"/>
    <sheet name="приб372 " sheetId="6" r:id="rId6"/>
    <sheet name="631" sheetId="7" r:id="rId7"/>
    <sheet name="приб631" sheetId="8" r:id="rId8"/>
    <sheet name="запаси" sheetId="9" r:id="rId9"/>
    <sheet name="звідЗапаси " sheetId="10" r:id="rId10"/>
    <sheet name="361" sheetId="11" r:id="rId11"/>
    <sheet name="приб361" sheetId="12" r:id="rId12"/>
    <sheet name="Зпл. (2)" sheetId="13" r:id="rId13"/>
    <sheet name="ШляхЛист" sheetId="14" r:id="rId14"/>
    <sheet name="ШляхЛист (легк.)" sheetId="15" r:id="rId15"/>
    <sheet name="ЗносОЗ" sheetId="16" r:id="rId16"/>
    <sheet name="ЗносНеоб" sheetId="17" r:id="rId17"/>
    <sheet name="ШаховВідом " sheetId="18" r:id="rId18"/>
    <sheet name="ОборБаланс " sheetId="19" r:id="rId19"/>
  </sheets>
  <externalReferences>
    <externalReference r:id="rId22"/>
  </externalReferences>
  <definedNames>
    <definedName name="_xlnm.Print_Titles" localSheetId="3">'301'!$1:$1</definedName>
    <definedName name="_xlnm.Print_Titles" localSheetId="2">'311'!$1:$1</definedName>
    <definedName name="_xlnm.Print_Titles" localSheetId="10">'361'!$1:$1</definedName>
    <definedName name="_xlnm.Print_Titles" localSheetId="4">'372 '!$1:$1</definedName>
    <definedName name="_xlnm.Print_Titles" localSheetId="6">'631'!$1:$1</definedName>
    <definedName name="_xlnm.Print_Titles" localSheetId="8">'запаси'!$1:$1</definedName>
    <definedName name="_xlnm.Print_Titles" localSheetId="12">'Зпл. (2)'!$A:$A</definedName>
    <definedName name="_xlnm.Print_Titles" localSheetId="18">'ОборБаланс '!$1:$1</definedName>
    <definedName name="_xlnm.Print_Titles" localSheetId="11">'приб361'!$1:$1</definedName>
    <definedName name="_xlnm.Print_Titles" localSheetId="5">'приб372 '!$1:$1</definedName>
    <definedName name="_xlnm.Print_Titles" localSheetId="7">'приб631'!$1:$1</definedName>
    <definedName name="_xlnm.Print_Titles" localSheetId="17">'ШаховВідом '!$A:$A</definedName>
  </definedNames>
  <calcPr fullCalcOnLoad="1" fullPrecision="0"/>
</workbook>
</file>

<file path=xl/sharedStrings.xml><?xml version="1.0" encoding="utf-8"?>
<sst xmlns="http://schemas.openxmlformats.org/spreadsheetml/2006/main" count="431" uniqueCount="306">
  <si>
    <t>рах.311</t>
  </si>
  <si>
    <t>№ п.</t>
  </si>
  <si>
    <t>Число</t>
  </si>
  <si>
    <t>Найменування</t>
  </si>
  <si>
    <t>Рах.</t>
  </si>
  <si>
    <t>Дебет</t>
  </si>
  <si>
    <t>Кредит</t>
  </si>
  <si>
    <t>С-до</t>
  </si>
  <si>
    <t>Контроль</t>
  </si>
  <si>
    <t>ЦОСПП</t>
  </si>
  <si>
    <t>рах.</t>
  </si>
  <si>
    <t>Сальдо</t>
  </si>
  <si>
    <t>П.І.Б.</t>
  </si>
  <si>
    <t>Д-т</t>
  </si>
  <si>
    <t>К-т</t>
  </si>
  <si>
    <t>№</t>
  </si>
  <si>
    <t>Всього</t>
  </si>
  <si>
    <t>Утел</t>
  </si>
  <si>
    <t>контр.</t>
  </si>
  <si>
    <t>Контроль:</t>
  </si>
  <si>
    <t>Сума</t>
  </si>
  <si>
    <t>з к-та 372</t>
  </si>
  <si>
    <t>Всього:</t>
  </si>
  <si>
    <t>№зв.</t>
  </si>
  <si>
    <t>Постачальник</t>
  </si>
  <si>
    <t>З к-та 631</t>
  </si>
  <si>
    <t>№накл.</t>
  </si>
  <si>
    <t>ПРОГРАМА АВТОМАТИЗАЦІЇ БУХГАЛТЕРСЬКОГО ОБЛІКУ</t>
  </si>
  <si>
    <t>652</t>
  </si>
  <si>
    <t>Дата</t>
  </si>
  <si>
    <t>Од.вим.</t>
  </si>
  <si>
    <t>С.к-сть</t>
  </si>
  <si>
    <t>С.сума</t>
  </si>
  <si>
    <t>Пр.к-сть</t>
  </si>
  <si>
    <t>Пр.сума</t>
  </si>
  <si>
    <t>В.к-сть</t>
  </si>
  <si>
    <t>В.сума</t>
  </si>
  <si>
    <t>С-до на поч.міс.</t>
  </si>
  <si>
    <t>Прибуток за місяць</t>
  </si>
  <si>
    <t>Видаток за місяць</t>
  </si>
  <si>
    <t>С-до на кін.міс.</t>
  </si>
  <si>
    <t>Назва рахунку</t>
  </si>
  <si>
    <t>Рах</t>
  </si>
  <si>
    <t>С-до Дебет</t>
  </si>
  <si>
    <t>С-до Кредит</t>
  </si>
  <si>
    <t>Оборот Дебет</t>
  </si>
  <si>
    <t>Оборот Кредит</t>
  </si>
  <si>
    <t>Основні засоби</t>
  </si>
  <si>
    <t>Малоцінні необоротні матеріальні активи</t>
  </si>
  <si>
    <t>Знос основних засобів</t>
  </si>
  <si>
    <t>Знос малоцінних необоротних матеріальних активів</t>
  </si>
  <si>
    <t>Інші матеріали</t>
  </si>
  <si>
    <t>209</t>
  </si>
  <si>
    <t>23</t>
  </si>
  <si>
    <t>Каса в національній валюті</t>
  </si>
  <si>
    <t>301</t>
  </si>
  <si>
    <t>Поточні рахунки в національній валюті</t>
  </si>
  <si>
    <t>311</t>
  </si>
  <si>
    <t>Розрахунки з підзвітними особами</t>
  </si>
  <si>
    <t>372</t>
  </si>
  <si>
    <t>Розрахунки з вітчизняними постачальниками</t>
  </si>
  <si>
    <t>631</t>
  </si>
  <si>
    <t>6411</t>
  </si>
  <si>
    <t>Розрахунки за пенсійним забезпеченням</t>
  </si>
  <si>
    <t>651</t>
  </si>
  <si>
    <t>Розрахунки за соціальним страхуванням</t>
  </si>
  <si>
    <t>Розрахунки за страхуванням на випадок безробіття</t>
  </si>
  <si>
    <t>653</t>
  </si>
  <si>
    <t>Розрахунки з оплати праці</t>
  </si>
  <si>
    <t>661</t>
  </si>
  <si>
    <t>Інші доходи від операційної діяльності</t>
  </si>
  <si>
    <t>719</t>
  </si>
  <si>
    <t>Результат основної діяльності</t>
  </si>
  <si>
    <t>791</t>
  </si>
  <si>
    <t>Паливо</t>
  </si>
  <si>
    <t>203</t>
  </si>
  <si>
    <t>ВСЬОГО</t>
  </si>
  <si>
    <t>Филиппенко П.М.</t>
  </si>
  <si>
    <t>Феліпас М.В.</t>
  </si>
  <si>
    <t>ПААЗ</t>
  </si>
  <si>
    <t>ПП Золотухін</t>
  </si>
  <si>
    <t>Кременч.з-д ЗБШ</t>
  </si>
  <si>
    <t>132</t>
  </si>
  <si>
    <t>Запасні частини</t>
  </si>
  <si>
    <t>207</t>
  </si>
  <si>
    <t>Витрати по автопослугам</t>
  </si>
  <si>
    <t>Адміністративні витрати</t>
  </si>
  <si>
    <t>92</t>
  </si>
  <si>
    <t>Товари на складі</t>
  </si>
  <si>
    <t>281</t>
  </si>
  <si>
    <t>Розрахунки з покупцями та замовниками</t>
  </si>
  <si>
    <t>361</t>
  </si>
  <si>
    <t>Статутний капітал</t>
  </si>
  <si>
    <t>40</t>
  </si>
  <si>
    <t>Нерозподілений прибуток</t>
  </si>
  <si>
    <t>441</t>
  </si>
  <si>
    <t>ПДВ</t>
  </si>
  <si>
    <t>Податок на прибуток</t>
  </si>
  <si>
    <t>6412</t>
  </si>
  <si>
    <t>6413</t>
  </si>
  <si>
    <t>Комунальний податок</t>
  </si>
  <si>
    <t>6414</t>
  </si>
  <si>
    <t>Податок з власників транспортних засобів</t>
  </si>
  <si>
    <t>6415</t>
  </si>
  <si>
    <t>Збір за забруднення</t>
  </si>
  <si>
    <t>6421</t>
  </si>
  <si>
    <t>Податковий кредит</t>
  </si>
  <si>
    <t>644</t>
  </si>
  <si>
    <t>Дохід від реалізації товарів</t>
  </si>
  <si>
    <t>702</t>
  </si>
  <si>
    <t>Дохід від реалізації робіт та послуг</t>
  </si>
  <si>
    <t>703</t>
  </si>
  <si>
    <t>Покупець</t>
  </si>
  <si>
    <t>без ПДВ</t>
  </si>
  <si>
    <t>в д-т 361</t>
  </si>
  <si>
    <t>Всього -</t>
  </si>
  <si>
    <t>в д-т -</t>
  </si>
  <si>
    <t>________</t>
  </si>
  <si>
    <t>_______</t>
  </si>
  <si>
    <t>Всього дебет</t>
  </si>
  <si>
    <t>Всього кредит</t>
  </si>
  <si>
    <t>контроль</t>
  </si>
  <si>
    <t>Айко-сервіс</t>
  </si>
  <si>
    <t>Кредмаш</t>
  </si>
  <si>
    <t>Будмеханізація</t>
  </si>
  <si>
    <t>______</t>
  </si>
  <si>
    <t>рах.631</t>
  </si>
  <si>
    <t>рах.702 та рах.703</t>
  </si>
  <si>
    <t>702 та 703</t>
  </si>
  <si>
    <t>Ціна</t>
  </si>
  <si>
    <t>Виплачено</t>
  </si>
  <si>
    <t>Прибутк.</t>
  </si>
  <si>
    <t>Соцстр. 0,25%</t>
  </si>
  <si>
    <t>Соцстр. 0,5%</t>
  </si>
  <si>
    <t>Безр. 0,5%</t>
  </si>
  <si>
    <t>Пенс. 1%</t>
  </si>
  <si>
    <t>Пенс. 2%</t>
  </si>
  <si>
    <t>23_651</t>
  </si>
  <si>
    <t>92_651</t>
  </si>
  <si>
    <t>661_651</t>
  </si>
  <si>
    <t>23_652</t>
  </si>
  <si>
    <t>92_652</t>
  </si>
  <si>
    <t>661_652</t>
  </si>
  <si>
    <t>23_653</t>
  </si>
  <si>
    <t>92_653</t>
  </si>
  <si>
    <t>661_653</t>
  </si>
  <si>
    <t>661_6413</t>
  </si>
  <si>
    <t>Пенс.</t>
  </si>
  <si>
    <t>661_301</t>
  </si>
  <si>
    <t>Соцстр.</t>
  </si>
  <si>
    <t>Безр.</t>
  </si>
  <si>
    <t>23_6522</t>
  </si>
  <si>
    <t>92_6522</t>
  </si>
  <si>
    <t>Нещ.вип.</t>
  </si>
  <si>
    <t>Контрагент</t>
  </si>
  <si>
    <t>№ шлях. лист.</t>
  </si>
  <si>
    <t>Спід. Поч</t>
  </si>
  <si>
    <t>Спід. Кін.</t>
  </si>
  <si>
    <t>Пробіг, км</t>
  </si>
  <si>
    <t>Видано ПММ, л.</t>
  </si>
  <si>
    <t>При виїзді, л.</t>
  </si>
  <si>
    <t>При поверн., л.</t>
  </si>
  <si>
    <t>Витрачено ПММ, л.</t>
  </si>
  <si>
    <t>Виручка з ПДВ</t>
  </si>
  <si>
    <t>З/пл. водія</t>
  </si>
  <si>
    <t>Назва</t>
  </si>
  <si>
    <t>Балансова вартість</t>
  </si>
  <si>
    <t>Знос за місяць</t>
  </si>
  <si>
    <t>Знос нарост.підс. на поч. міс.</t>
  </si>
  <si>
    <t>Знос нарост.підс. на кін. міс.</t>
  </si>
  <si>
    <t>Дата прибуття/вибуття</t>
  </si>
  <si>
    <t>Рах. нарах. зносу</t>
  </si>
  <si>
    <t>Всього знос:</t>
  </si>
  <si>
    <t>Бал. вартість</t>
  </si>
  <si>
    <t>Контр. всього</t>
  </si>
  <si>
    <t>Всього знос за міс.:</t>
  </si>
  <si>
    <t>Знос нарост.  підс. на поч. міс.</t>
  </si>
  <si>
    <t>Знос нарост.  підс. на кін. міс.</t>
  </si>
  <si>
    <t>6522</t>
  </si>
  <si>
    <t>Розрахунки за соціальним страхуванням від нещасного випадку</t>
  </si>
  <si>
    <t>Контр.</t>
  </si>
  <si>
    <t>-Контроль</t>
  </si>
  <si>
    <t>ПП Зірка</t>
  </si>
  <si>
    <t>для своїх потреб</t>
  </si>
  <si>
    <t>Маркетинг-Автоагрегат</t>
  </si>
  <si>
    <t>Оренда</t>
  </si>
  <si>
    <t>А-76</t>
  </si>
  <si>
    <t>А-92</t>
  </si>
  <si>
    <t>06,01</t>
  </si>
  <si>
    <t>Інші витрати операційної діяльності</t>
  </si>
  <si>
    <t>949</t>
  </si>
  <si>
    <t>Відпрацьовано днів</t>
  </si>
  <si>
    <t>Відпрацьовано годин</t>
  </si>
  <si>
    <t>Дні відряджень</t>
  </si>
  <si>
    <t>Сер.з/пл. за дні відр.</t>
  </si>
  <si>
    <t>Нарах.по тариф.</t>
  </si>
  <si>
    <t>Розр.сер. З/пл.</t>
  </si>
  <si>
    <t>Відпрац.роб.днів.</t>
  </si>
  <si>
    <t>З/плата</t>
  </si>
  <si>
    <t>Сер.з/пл. за день</t>
  </si>
  <si>
    <t>рах.361</t>
  </si>
  <si>
    <t>Вид витрат</t>
  </si>
  <si>
    <t>Відпускні</t>
  </si>
  <si>
    <t>з/плата</t>
  </si>
  <si>
    <t>кал.дні</t>
  </si>
  <si>
    <t>08,00</t>
  </si>
  <si>
    <t>09,00</t>
  </si>
  <si>
    <t>10,00</t>
  </si>
  <si>
    <t>11,00</t>
  </si>
  <si>
    <t>12,00</t>
  </si>
  <si>
    <t>01,01</t>
  </si>
  <si>
    <t>02,01</t>
  </si>
  <si>
    <t>03,01</t>
  </si>
  <si>
    <t>04,01</t>
  </si>
  <si>
    <t>05,01</t>
  </si>
  <si>
    <t>07,01</t>
  </si>
  <si>
    <t>08.01.</t>
  </si>
  <si>
    <t>Брянський О.Л.</t>
  </si>
  <si>
    <t>09.01.</t>
  </si>
  <si>
    <t>Вігро</t>
  </si>
  <si>
    <t>ДМ-Сервіс</t>
  </si>
  <si>
    <t>Шар ТОВ</t>
  </si>
  <si>
    <t>43</t>
  </si>
  <si>
    <t>Резервний капітал</t>
  </si>
  <si>
    <t>Авіас ТОВ</t>
  </si>
  <si>
    <t>В д-т 301</t>
  </si>
  <si>
    <t>З к-та 301</t>
  </si>
  <si>
    <t>В д-т 311</t>
  </si>
  <si>
    <t>З к-та 311</t>
  </si>
  <si>
    <t>Естер ПНВКП</t>
  </si>
  <si>
    <t>Техкомплект ТОВ</t>
  </si>
  <si>
    <t>Масла та мастила ТОВ</t>
  </si>
  <si>
    <t>з к-та 6411</t>
  </si>
  <si>
    <t>Податкове зобов'язання</t>
  </si>
  <si>
    <t>643</t>
  </si>
  <si>
    <t>Укрбудекспорт ТОВ</t>
  </si>
  <si>
    <t>ПП Коваленко В.П.</t>
  </si>
  <si>
    <t>Полтава-авто АТ</t>
  </si>
  <si>
    <t>Кременчукнафт. ВАТ</t>
  </si>
  <si>
    <t>Абат ТОВ</t>
  </si>
  <si>
    <t>Дорбудкомплекс</t>
  </si>
  <si>
    <t>Командор ТОВ</t>
  </si>
  <si>
    <t>Ремонтні витрати</t>
  </si>
  <si>
    <t>231</t>
  </si>
  <si>
    <t>Гонтар В.В.</t>
  </si>
  <si>
    <t>Союззапчастина ТОВ</t>
  </si>
  <si>
    <t>Ай.пі.нет.плюс ПП</t>
  </si>
  <si>
    <t>Ніко ПП</t>
  </si>
  <si>
    <t>Сільгосптехніка ТОВ</t>
  </si>
  <si>
    <t>Авік ПП</t>
  </si>
  <si>
    <t>Кущенко В.А.</t>
  </si>
  <si>
    <t>ШРБУ</t>
  </si>
  <si>
    <t>УТН-Восток ТОВ</t>
  </si>
  <si>
    <t>Підряд СБМУ ТОВ</t>
  </si>
  <si>
    <t>Богуславське РДУ</t>
  </si>
  <si>
    <t>ДАІ, техогляд</t>
  </si>
  <si>
    <t>__44</t>
  </si>
  <si>
    <t>Кошарищська промислова база</t>
  </si>
  <si>
    <t>Осташко О.Д.</t>
  </si>
  <si>
    <t>Шевченко О.О.</t>
  </si>
  <si>
    <t>Миронівське РДУ</t>
  </si>
  <si>
    <t>11 дн. для своїх потреб</t>
  </si>
  <si>
    <t>Ропіт ТОВ</t>
  </si>
  <si>
    <t>Асфальтобетонник КООП</t>
  </si>
  <si>
    <t>Облавтодор Житом</t>
  </si>
  <si>
    <t>Спецбудналадка</t>
  </si>
  <si>
    <t>Трейд-Лайн Полтава</t>
  </si>
  <si>
    <t>Бабенко П.В.</t>
  </si>
  <si>
    <t>Ольховський Е.В.</t>
  </si>
  <si>
    <t>Дортехкомплект ПП</t>
  </si>
  <si>
    <t>Гемма плюс ПП</t>
  </si>
  <si>
    <t>Міськрада</t>
  </si>
  <si>
    <t>Інші рахунки в банку в національній валюті</t>
  </si>
  <si>
    <t>313</t>
  </si>
  <si>
    <t>Розрахунки за нарахованими доходами</t>
  </si>
  <si>
    <t>373</t>
  </si>
  <si>
    <t>Відсотки одержані</t>
  </si>
  <si>
    <t>732</t>
  </si>
  <si>
    <t>792</t>
  </si>
  <si>
    <t>Результат фінансових операцій</t>
  </si>
  <si>
    <t>ПДФО</t>
  </si>
  <si>
    <t>Солітон ПП</t>
  </si>
  <si>
    <t>Спецпроектмонтаж ТОВ</t>
  </si>
  <si>
    <t>банк</t>
  </si>
  <si>
    <t>Камінський</t>
  </si>
  <si>
    <t>Автоагрегат</t>
  </si>
  <si>
    <t>ДП ІРЦ</t>
  </si>
  <si>
    <t>Розрахунки з учасниками</t>
  </si>
  <si>
    <t>672</t>
  </si>
  <si>
    <t>Експерт-сервіс ТОВ</t>
  </si>
  <si>
    <t>повернення ПДВ</t>
  </si>
  <si>
    <t>повернення внеску</t>
  </si>
  <si>
    <t>Розробив: Олександр Золотухін.</t>
  </si>
  <si>
    <t>адмінвитрати</t>
  </si>
  <si>
    <t>563</t>
  </si>
  <si>
    <t>контр</t>
  </si>
  <si>
    <t>розетки</t>
  </si>
  <si>
    <t>22</t>
  </si>
  <si>
    <t>шт</t>
  </si>
  <si>
    <t>0109</t>
  </si>
  <si>
    <t>Комп'ютер</t>
  </si>
  <si>
    <t>"Бухгалтерия будущего" у:</t>
  </si>
  <si>
    <t>Фейсбук</t>
  </si>
  <si>
    <t>Телеграм</t>
  </si>
  <si>
    <t xml:space="preserve">e-mail: </t>
  </si>
  <si>
    <t xml:space="preserve">zolot599@gmail.com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</si>
</sst>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51">
    <font>
      <sz val="10"/>
      <name val="Arial Cyr"/>
      <family val="0"/>
    </font>
    <font>
      <b/>
      <sz val="10"/>
      <color indexed="16"/>
      <name val="Arial Cyr"/>
      <family val="2"/>
    </font>
    <font>
      <b/>
      <sz val="12"/>
      <color indexed="18"/>
      <name val="Arial Cyr"/>
      <family val="2"/>
    </font>
    <font>
      <b/>
      <sz val="12"/>
      <color indexed="16"/>
      <name val="Arial Cyr"/>
      <family val="2"/>
    </font>
    <font>
      <sz val="20"/>
      <color indexed="14"/>
      <name val="Arial Cyr"/>
      <family val="2"/>
    </font>
    <font>
      <b/>
      <sz val="18"/>
      <color indexed="60"/>
      <name val="Arial Cyr"/>
      <family val="2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b/>
      <sz val="16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0" fillId="0" borderId="0" xfId="0" applyAlignment="1" applyProtection="1">
      <alignment wrapText="1"/>
      <protection locked="0"/>
    </xf>
    <xf numFmtId="2" fontId="0" fillId="36" borderId="0" xfId="0" applyNumberFormat="1" applyFill="1" applyAlignment="1">
      <alignment/>
    </xf>
    <xf numFmtId="2" fontId="0" fillId="37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/>
    </xf>
    <xf numFmtId="2" fontId="0" fillId="0" borderId="0" xfId="0" applyNumberFormat="1" applyFill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2" fontId="0" fillId="38" borderId="10" xfId="0" applyNumberFormat="1" applyFill="1" applyBorder="1" applyAlignment="1">
      <alignment/>
    </xf>
    <xf numFmtId="0" fontId="0" fillId="39" borderId="10" xfId="0" applyFont="1" applyFill="1" applyBorder="1" applyAlignment="1" applyProtection="1">
      <alignment wrapText="1"/>
      <protection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 wrapText="1"/>
      <protection locked="0"/>
    </xf>
    <xf numFmtId="49" fontId="0" fillId="0" borderId="10" xfId="0" applyNumberFormat="1" applyBorder="1" applyAlignment="1">
      <alignment/>
    </xf>
    <xf numFmtId="49" fontId="0" fillId="38" borderId="10" xfId="0" applyNumberFormat="1" applyFill="1" applyBorder="1" applyAlignment="1">
      <alignment wrapText="1"/>
    </xf>
    <xf numFmtId="0" fontId="0" fillId="38" borderId="10" xfId="0" applyNumberFormat="1" applyFill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31" borderId="10" xfId="0" applyNumberFormat="1" applyFill="1" applyBorder="1" applyAlignment="1">
      <alignment/>
    </xf>
    <xf numFmtId="2" fontId="0" fillId="31" borderId="10" xfId="0" applyNumberFormat="1" applyFill="1" applyBorder="1" applyAlignment="1">
      <alignment/>
    </xf>
    <xf numFmtId="0" fontId="0" fillId="31" borderId="10" xfId="0" applyFill="1" applyBorder="1" applyAlignment="1">
      <alignment/>
    </xf>
    <xf numFmtId="49" fontId="0" fillId="31" borderId="10" xfId="0" applyNumberFormat="1" applyFill="1" applyBorder="1" applyAlignment="1">
      <alignment/>
    </xf>
    <xf numFmtId="49" fontId="0" fillId="31" borderId="10" xfId="0" applyNumberFormat="1" applyFill="1" applyBorder="1" applyAlignment="1">
      <alignment wrapText="1"/>
    </xf>
    <xf numFmtId="0" fontId="0" fillId="31" borderId="10" xfId="0" applyFill="1" applyBorder="1" applyAlignment="1" applyProtection="1">
      <alignment/>
      <protection locked="0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/>
    </xf>
    <xf numFmtId="2" fontId="0" fillId="40" borderId="10" xfId="0" applyNumberFormat="1" applyFill="1" applyBorder="1" applyAlignment="1" applyProtection="1">
      <alignment/>
      <protection locked="0"/>
    </xf>
    <xf numFmtId="2" fontId="0" fillId="31" borderId="10" xfId="0" applyNumberFormat="1" applyFill="1" applyBorder="1" applyAlignment="1" applyProtection="1">
      <alignment/>
      <protection locked="0"/>
    </xf>
    <xf numFmtId="0" fontId="0" fillId="16" borderId="0" xfId="0" applyFill="1" applyAlignment="1">
      <alignment/>
    </xf>
    <xf numFmtId="0" fontId="37" fillId="35" borderId="0" xfId="42" applyFill="1" applyAlignment="1" applyProtection="1">
      <alignment/>
      <protection/>
    </xf>
    <xf numFmtId="0" fontId="7" fillId="16" borderId="0" xfId="0" applyFont="1" applyFill="1" applyAlignment="1">
      <alignment/>
    </xf>
    <xf numFmtId="0" fontId="37" fillId="33" borderId="0" xfId="42" applyFill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76200</xdr:rowOff>
    </xdr:from>
    <xdr:to>
      <xdr:col>4</xdr:col>
      <xdr:colOff>47625</xdr:colOff>
      <xdr:row>19</xdr:row>
      <xdr:rowOff>85725</xdr:rowOff>
    </xdr:to>
    <xdr:sp>
      <xdr:nvSpPr>
        <xdr:cNvPr id="1" name="Oval 14"/>
        <xdr:cNvSpPr>
          <a:spLocks/>
        </xdr:cNvSpPr>
      </xdr:nvSpPr>
      <xdr:spPr>
        <a:xfrm>
          <a:off x="666750" y="2162175"/>
          <a:ext cx="2124075" cy="11430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Наша віра вірніш розрахунку.</a:t>
          </a: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Із рок-опери"Юнона та Авось" А.Рибнікова.</a:t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2</xdr:col>
      <xdr:colOff>342900</xdr:colOff>
      <xdr:row>2</xdr:row>
      <xdr:rowOff>104775</xdr:rowOff>
    </xdr:to>
    <xdr:sp>
      <xdr:nvSpPr>
        <xdr:cNvPr id="2" name="Rectangle 16"/>
        <xdr:cNvSpPr>
          <a:spLocks/>
        </xdr:cNvSpPr>
      </xdr:nvSpPr>
      <xdr:spPr>
        <a:xfrm>
          <a:off x="85725" y="371475"/>
          <a:ext cx="16287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ТОВ"Автопневмотех"</a:t>
          </a:r>
        </a:p>
      </xdr:txBody>
    </xdr:sp>
    <xdr:clientData/>
  </xdr:twoCellAnchor>
  <xdr:twoCellAnchor editAs="oneCell">
    <xdr:from>
      <xdr:col>8</xdr:col>
      <xdr:colOff>476250</xdr:colOff>
      <xdr:row>18</xdr:row>
      <xdr:rowOff>114300</xdr:rowOff>
    </xdr:from>
    <xdr:to>
      <xdr:col>9</xdr:col>
      <xdr:colOff>323850</xdr:colOff>
      <xdr:row>22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r="7560"/>
        <a:stretch>
          <a:fillRect/>
        </a:stretch>
      </xdr:blipFill>
      <xdr:spPr>
        <a:xfrm>
          <a:off x="5962650" y="31718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1;&#1091;&#1093;&#1054;&#1073;&#1083;&#1110;&#1082;\3&#1041;&#1091;&#1093;&#1054;&#1073;&#1083;&#1110;&#1082;&#1058;&#1080;&#1084;&#1086;&#1093;\3&#1041;&#1093;&#1054;&#1073;&#1083;&#1110;&#1082;&#1058;&#1080;&#1084;&#1086;&#1093;2005\3&#1041;&#1091;&#1093;&#1054;&#1073;&#1083;&#1110;&#1082;&#1058;&#1080;&#1084;&#1086;&#1093;2004\3&#1041;&#1091;&#1093;&#1054;&#1073;&#1083;&#1110;&#1082;&#1058;&#1080;&#1084;&#1086;&#1093;2003\3&#1041;&#1091;&#1093;&#1054;&#1073;&#1083;&#1110;&#1082;&#1058;&#1080;&#1084;&#1086;&#1093;2002\3&#1041;&#1091;&#1093;&#1054;&#1073;&#1083;&#1110;&#1082;&#1058;&#1080;&#1084;&#1086;&#1093;2001\3&#1090;&#1088;&#1072;&#1074;&#1077;&#1085;&#1100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список"/>
      <sheetName val="311"/>
      <sheetName val="301"/>
      <sheetName val="372 "/>
      <sheetName val="приб372 "/>
      <sheetName val="631"/>
      <sheetName val="приб631"/>
      <sheetName val="запаси"/>
      <sheetName val="звідЗапаси "/>
      <sheetName val="361"/>
      <sheetName val="приб361"/>
      <sheetName val="Зпл."/>
      <sheetName val="ШляхЛист (легк.)"/>
      <sheetName val="ШляхЛист"/>
      <sheetName val="ЗносОЗ"/>
      <sheetName val="ЗносНеоб"/>
      <sheetName val="ШаховВідом "/>
      <sheetName val="ОборБаланс "/>
    </sheetNames>
    <definedNames>
      <definedName name="МЕНЮ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groups/604134359624979/" TargetMode="External" /><Relationship Id="rId2" Type="http://schemas.openxmlformats.org/officeDocument/2006/relationships/hyperlink" Target="https://t.me/buhbud" TargetMode="External" /><Relationship Id="rId3" Type="http://schemas.openxmlformats.org/officeDocument/2006/relationships/hyperlink" Target="mailto:zolot599@gmail.com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23"/>
  <sheetViews>
    <sheetView tabSelected="1" zoomScale="120" zoomScaleNormal="120" zoomScalePageLayoutView="0" workbookViewId="0" topLeftCell="A1">
      <selection activeCell="M1" sqref="M1"/>
    </sheetView>
  </sheetViews>
  <sheetFormatPr defaultColWidth="9.00390625" defaultRowHeight="12.75"/>
  <sheetData>
    <row r="1" spans="1:12" ht="24">
      <c r="A1" s="8" t="s">
        <v>27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</row>
    <row r="2" spans="5:12" ht="12.75">
      <c r="E2" s="12"/>
      <c r="F2" s="12"/>
      <c r="G2" s="12"/>
      <c r="H2" s="12"/>
      <c r="I2" s="12"/>
      <c r="J2" s="12"/>
      <c r="K2" s="12"/>
      <c r="L2" s="12"/>
    </row>
    <row r="3" spans="5:12" ht="12.75">
      <c r="E3" s="12"/>
      <c r="F3" s="12"/>
      <c r="G3" s="12"/>
      <c r="H3" s="12"/>
      <c r="I3" s="12"/>
      <c r="J3" s="12"/>
      <c r="K3" s="12"/>
      <c r="L3" s="12"/>
    </row>
    <row r="4" spans="5:12" ht="12.75"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5:12" ht="12.75">
      <c r="E6" s="12"/>
      <c r="F6" s="12"/>
      <c r="G6" s="12"/>
      <c r="H6" s="12"/>
      <c r="I6" s="12"/>
      <c r="J6" s="12"/>
      <c r="K6" s="12"/>
      <c r="L6" s="12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5:12" ht="12.75">
      <c r="E8" s="12"/>
      <c r="F8" s="12"/>
      <c r="G8" s="12"/>
      <c r="H8" s="12"/>
      <c r="I8" s="12"/>
      <c r="J8" s="12"/>
      <c r="K8" s="12"/>
      <c r="L8" s="12"/>
    </row>
    <row r="9" spans="5:12" ht="12.75">
      <c r="E9" s="12"/>
      <c r="F9" s="12"/>
      <c r="G9" s="12"/>
      <c r="H9" s="12"/>
      <c r="I9" s="12"/>
      <c r="J9" s="12"/>
      <c r="K9" s="12"/>
      <c r="L9" s="12"/>
    </row>
    <row r="10" spans="5:12" ht="12.75">
      <c r="E10" s="12"/>
      <c r="F10" s="12"/>
      <c r="G10" s="12"/>
      <c r="H10" s="12"/>
      <c r="I10" s="12"/>
      <c r="J10" s="12"/>
      <c r="K10" s="12"/>
      <c r="L10" s="12"/>
    </row>
    <row r="11" spans="5:12" ht="12.75">
      <c r="E11" s="12"/>
      <c r="F11" s="12"/>
      <c r="G11" s="12"/>
      <c r="H11" s="12"/>
      <c r="I11" s="12"/>
      <c r="J11" s="12"/>
      <c r="K11" s="12"/>
      <c r="L11" s="12"/>
    </row>
    <row r="12" spans="5:12" ht="12.75">
      <c r="E12" s="12"/>
      <c r="F12" s="12"/>
      <c r="G12" s="12"/>
      <c r="H12" s="12"/>
      <c r="I12" s="12"/>
      <c r="J12" s="12"/>
      <c r="K12" s="12"/>
      <c r="L12" s="12"/>
    </row>
    <row r="13" spans="5:12" ht="12.75">
      <c r="E13" s="12"/>
      <c r="F13" s="12"/>
      <c r="G13" s="12"/>
      <c r="H13" s="12"/>
      <c r="I13" s="12"/>
      <c r="J13" s="12"/>
      <c r="K13" s="12"/>
      <c r="L13" s="12"/>
    </row>
    <row r="14" spans="5:12" ht="12.75">
      <c r="E14" s="12"/>
      <c r="F14" s="12"/>
      <c r="G14" s="12"/>
      <c r="H14" s="12"/>
      <c r="I14" s="12"/>
      <c r="J14" s="12"/>
      <c r="K14" s="12"/>
      <c r="L14" s="12"/>
    </row>
    <row r="15" spans="5:12" ht="12.75">
      <c r="E15" s="12"/>
      <c r="F15" s="12"/>
      <c r="G15" s="12"/>
      <c r="H15" s="12"/>
      <c r="I15" s="12"/>
      <c r="J15" s="12"/>
      <c r="K15" s="12"/>
      <c r="L15" s="12"/>
    </row>
    <row r="16" spans="5:12" ht="12.75">
      <c r="E16" s="12"/>
      <c r="F16" s="12"/>
      <c r="G16" s="12"/>
      <c r="H16" s="12"/>
      <c r="I16" s="12"/>
      <c r="J16" s="12"/>
      <c r="K16" s="12"/>
      <c r="L16" s="12"/>
    </row>
    <row r="17" spans="5:12" ht="12.75">
      <c r="E17" s="12"/>
      <c r="F17" s="12"/>
      <c r="G17" s="12"/>
      <c r="H17" s="12"/>
      <c r="I17" s="12"/>
      <c r="J17" s="12"/>
      <c r="K17" s="12"/>
      <c r="L17" s="12"/>
    </row>
    <row r="18" spans="5:12" ht="12.75">
      <c r="E18" s="12"/>
      <c r="F18" s="12"/>
      <c r="G18" s="12"/>
      <c r="H18" s="12"/>
      <c r="I18" s="12"/>
      <c r="J18" s="12"/>
      <c r="K18" s="12"/>
      <c r="L18" s="12"/>
    </row>
    <row r="19" spans="5:12" ht="12.75">
      <c r="E19" s="12"/>
      <c r="F19" s="12"/>
      <c r="G19" s="12"/>
      <c r="H19" s="12"/>
      <c r="I19" s="12"/>
      <c r="J19" s="12"/>
      <c r="K19" s="12"/>
      <c r="L19" s="12"/>
    </row>
    <row r="20" spans="5:12" ht="12.75">
      <c r="E20" s="12"/>
      <c r="F20" s="11" t="s">
        <v>292</v>
      </c>
      <c r="G20" s="7"/>
      <c r="H20" s="7"/>
      <c r="I20" s="7"/>
      <c r="J20" s="7"/>
      <c r="K20" s="7"/>
      <c r="L20" s="12"/>
    </row>
    <row r="21" spans="5:12" ht="12.75">
      <c r="E21" s="12"/>
      <c r="F21" s="11" t="s">
        <v>304</v>
      </c>
      <c r="G21" s="69" t="s">
        <v>305</v>
      </c>
      <c r="H21" s="7"/>
      <c r="I21" s="7"/>
      <c r="J21" s="7"/>
      <c r="K21" s="7"/>
      <c r="L21" s="12"/>
    </row>
    <row r="22" spans="5:12" ht="12" customHeight="1">
      <c r="E22" s="12"/>
      <c r="F22" s="68" t="s">
        <v>301</v>
      </c>
      <c r="G22" s="66"/>
      <c r="H22" s="66"/>
      <c r="I22" s="66"/>
      <c r="J22" s="66"/>
      <c r="K22" s="66"/>
      <c r="L22" s="12"/>
    </row>
    <row r="23" spans="5:12" ht="12.75">
      <c r="E23" s="12"/>
      <c r="F23" s="67" t="s">
        <v>302</v>
      </c>
      <c r="G23" s="12"/>
      <c r="H23" s="67" t="s">
        <v>303</v>
      </c>
      <c r="I23" s="12"/>
      <c r="J23" s="12"/>
      <c r="K23" s="12"/>
      <c r="L23" s="12"/>
    </row>
  </sheetData>
  <sheetProtection/>
  <hyperlinks>
    <hyperlink ref="F23" r:id="rId1" display="Фейсбук"/>
    <hyperlink ref="H23" r:id="rId2" display="Телеграм"/>
    <hyperlink ref="G21" r:id="rId3" display="zolot599@gmail.com "/>
  </hyperlink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MS_ClipArt_Gallery" shapeId="1538179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E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5.00390625" style="0" bestFit="1" customWidth="1"/>
    <col min="2" max="2" width="17.50390625" style="0" bestFit="1" customWidth="1"/>
    <col min="3" max="3" width="16.625" style="0" bestFit="1" customWidth="1"/>
    <col min="4" max="4" width="14.375" style="0" bestFit="1" customWidth="1"/>
  </cols>
  <sheetData>
    <row r="1" spans="1:4" ht="38.25" customHeight="1">
      <c r="A1" t="s">
        <v>37</v>
      </c>
      <c r="B1" t="s">
        <v>38</v>
      </c>
      <c r="C1" t="s">
        <v>39</v>
      </c>
      <c r="D1" t="s">
        <v>40</v>
      </c>
    </row>
    <row r="2" spans="1:4" ht="12.75">
      <c r="A2" s="1">
        <f>SUM(запаси!H:H)</f>
        <v>0</v>
      </c>
      <c r="B2" s="1">
        <f>SUM(запаси!J:J)</f>
        <v>300</v>
      </c>
      <c r="C2" s="1">
        <f>SUM(запаси!L:L)</f>
        <v>30</v>
      </c>
      <c r="D2" s="1">
        <f>SUM(запаси!N:N)</f>
        <v>270</v>
      </c>
    </row>
    <row r="3" spans="1:5" ht="12.75">
      <c r="A3" s="1">
        <f>SUM(A4:A7)</f>
        <v>0</v>
      </c>
      <c r="B3" s="1">
        <f>SUM(B4:B7)</f>
        <v>300</v>
      </c>
      <c r="C3" s="1">
        <f>SUM(C4:C7)</f>
        <v>30</v>
      </c>
      <c r="D3" s="1">
        <f>SUM(D4:D7)</f>
        <v>270</v>
      </c>
      <c r="E3" s="21" t="s">
        <v>181</v>
      </c>
    </row>
    <row r="4" spans="1:5" ht="12.75">
      <c r="A4" s="1">
        <f>SUMIF(запаси!A:A,E4,запаси!H:H)</f>
        <v>0</v>
      </c>
      <c r="B4" s="1">
        <f>SUMIF(запаси!A:A,E4,запаси!J:J)</f>
        <v>0</v>
      </c>
      <c r="C4" s="1">
        <f>SUMIF(запаси!A:A,E4,запаси!L:L)</f>
        <v>0</v>
      </c>
      <c r="D4" s="1">
        <f>SUMIF(запаси!A:A,E4,запаси!N:N)</f>
        <v>0</v>
      </c>
      <c r="E4" s="20">
        <v>281</v>
      </c>
    </row>
    <row r="5" spans="1:5" ht="12.75">
      <c r="A5" s="1">
        <f>SUMIF(запаси!A:A,E5,запаси!H:H)</f>
        <v>0</v>
      </c>
      <c r="B5" s="1">
        <f>SUMIF(запаси!A:A,E5,запаси!J:J)</f>
        <v>0</v>
      </c>
      <c r="C5" s="1">
        <f>SUMIF(запаси!A:A,E5,запаси!L:L)</f>
        <v>0</v>
      </c>
      <c r="D5" s="1">
        <f>SUMIF(запаси!A:A,E5,запаси!N:N)</f>
        <v>0</v>
      </c>
      <c r="E5" s="20">
        <v>203</v>
      </c>
    </row>
    <row r="6" spans="1:5" ht="12.75">
      <c r="A6" s="1">
        <f>SUMIF(запаси!A:A,E6,запаси!H:H)</f>
        <v>0</v>
      </c>
      <c r="B6" s="1">
        <f>SUMIF(запаси!A:A,E6,запаси!J:J)</f>
        <v>0</v>
      </c>
      <c r="C6" s="1">
        <f>SUMIF(запаси!A:A,E6,запаси!L:L)</f>
        <v>0</v>
      </c>
      <c r="D6" s="1">
        <f>SUMIF(запаси!A:A,E6,запаси!N:N)</f>
        <v>0</v>
      </c>
      <c r="E6" s="20">
        <v>207</v>
      </c>
    </row>
    <row r="7" spans="1:5" ht="12.75">
      <c r="A7" s="1">
        <f>SUMIF(запаси!A:A,E7,запаси!H:H)</f>
        <v>0</v>
      </c>
      <c r="B7" s="1">
        <f>SUMIF(запаси!A:A,E7,запаси!J:J)</f>
        <v>300</v>
      </c>
      <c r="C7" s="1">
        <f>SUMIF(запаси!A:A,E7,запаси!L:L)</f>
        <v>30</v>
      </c>
      <c r="D7" s="1">
        <f>SUMIF(запаси!A:A,E7,запаси!N:N)</f>
        <v>270</v>
      </c>
      <c r="E7" s="20">
        <v>209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2"/>
  <headerFooter alignWithMargins="0">
    <oddHeader>&amp;CЗвід по запасам за
&amp;Fр.&amp;RТОВ"Автопневмотех"
Код за ЄДРПОУ 25163861</oddHeader>
    <oddFooter>&amp;RСтор.&amp;P
Всього &amp;Nстор.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O3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18.50390625" style="15" customWidth="1"/>
    <col min="2" max="2" width="9.50390625" style="1" bestFit="1" customWidth="1"/>
    <col min="3" max="3" width="11.50390625" style="1" customWidth="1"/>
    <col min="4" max="4" width="9.125" style="1" customWidth="1"/>
    <col min="5" max="5" width="7.50390625" style="1" customWidth="1"/>
    <col min="6" max="6" width="7.00390625" style="1" customWidth="1"/>
    <col min="7" max="10" width="9.125" style="1" customWidth="1"/>
    <col min="11" max="11" width="8.875" style="1" customWidth="1"/>
    <col min="12" max="12" width="9.50390625" style="1" bestFit="1" customWidth="1"/>
    <col min="13" max="13" width="9.125" style="1" customWidth="1"/>
    <col min="15" max="15" width="9.50390625" style="1" bestFit="1" customWidth="1"/>
    <col min="16" max="17" width="9.125" style="1" customWidth="1"/>
  </cols>
  <sheetData>
    <row r="1" spans="1:13" ht="39.75" customHeight="1">
      <c r="A1" s="15" t="s">
        <v>112</v>
      </c>
      <c r="B1" s="1" t="s">
        <v>13</v>
      </c>
      <c r="C1" s="1" t="s">
        <v>14</v>
      </c>
      <c r="D1" s="16" t="s">
        <v>127</v>
      </c>
      <c r="E1" s="14" t="s">
        <v>256</v>
      </c>
      <c r="F1" s="14" t="s">
        <v>118</v>
      </c>
      <c r="G1" s="16" t="s">
        <v>119</v>
      </c>
      <c r="H1" s="14" t="s">
        <v>0</v>
      </c>
      <c r="I1" s="14" t="s">
        <v>126</v>
      </c>
      <c r="J1" s="16" t="s">
        <v>120</v>
      </c>
      <c r="K1" s="14" t="s">
        <v>121</v>
      </c>
      <c r="L1" s="14" t="s">
        <v>13</v>
      </c>
      <c r="M1" s="14" t="s">
        <v>14</v>
      </c>
    </row>
    <row r="2" spans="1:15" ht="12.75">
      <c r="A2" s="15" t="s">
        <v>246</v>
      </c>
      <c r="B2" s="1">
        <v>0</v>
      </c>
      <c r="C2" s="1">
        <v>0</v>
      </c>
      <c r="D2" s="1">
        <f>SUMIF(приб361!B:B,A2,приб361!G:G)</f>
        <v>0</v>
      </c>
      <c r="G2" s="1">
        <f aca="true" t="shared" si="0" ref="G2:G32">SUM(D2:F2)</f>
        <v>0</v>
      </c>
      <c r="H2" s="1">
        <f>SUMIF('311'!C:C,A:A,'311'!E:E)</f>
        <v>0</v>
      </c>
      <c r="J2" s="1">
        <f aca="true" t="shared" si="1" ref="J2:J32">H2+I2</f>
        <v>0</v>
      </c>
      <c r="K2" s="1">
        <f aca="true" t="shared" si="2" ref="K2:K32">B2+G2-C2-J2</f>
        <v>0</v>
      </c>
      <c r="L2" s="1">
        <f aca="true" t="shared" si="3" ref="L2:L32">IF(K2&gt;0,K2,0)</f>
        <v>0</v>
      </c>
      <c r="M2" s="1">
        <f aca="true" t="shared" si="4" ref="M2:M32">IF(K2&lt;0,-K2,0)</f>
        <v>0</v>
      </c>
      <c r="N2" t="s">
        <v>13</v>
      </c>
      <c r="O2" s="1">
        <f>SUM(B:B)</f>
        <v>0</v>
      </c>
    </row>
    <row r="3" spans="1:15" ht="12.75">
      <c r="A3" s="24" t="s">
        <v>122</v>
      </c>
      <c r="B3" s="1">
        <v>0</v>
      </c>
      <c r="C3" s="1">
        <v>0</v>
      </c>
      <c r="D3" s="1">
        <f>SUMIF(приб361!B:B,A3,приб361!G:G)</f>
        <v>60</v>
      </c>
      <c r="G3" s="1">
        <f t="shared" si="0"/>
        <v>60</v>
      </c>
      <c r="H3" s="1">
        <f>SUMIF('311'!C:C,A:A,'311'!E:E)</f>
        <v>300</v>
      </c>
      <c r="J3" s="1">
        <f t="shared" si="1"/>
        <v>300</v>
      </c>
      <c r="K3" s="1">
        <f t="shared" si="2"/>
        <v>-240</v>
      </c>
      <c r="L3" s="1">
        <f t="shared" si="3"/>
        <v>0</v>
      </c>
      <c r="M3" s="1">
        <f t="shared" si="4"/>
        <v>240</v>
      </c>
      <c r="N3" t="s">
        <v>14</v>
      </c>
      <c r="O3" s="1">
        <f>SUM(C:C)</f>
        <v>0</v>
      </c>
    </row>
    <row r="4" spans="1:15" ht="26.25">
      <c r="A4" s="15" t="s">
        <v>263</v>
      </c>
      <c r="B4" s="1">
        <v>0</v>
      </c>
      <c r="C4" s="1">
        <v>0</v>
      </c>
      <c r="D4" s="1">
        <f>SUMIF(приб361!B:B,A4,приб361!G:G)</f>
        <v>0</v>
      </c>
      <c r="G4" s="1">
        <f t="shared" si="0"/>
        <v>0</v>
      </c>
      <c r="H4" s="1">
        <f>SUMIF('311'!C:C,A:A,'311'!E:E)</f>
        <v>0</v>
      </c>
      <c r="J4" s="1">
        <f t="shared" si="1"/>
        <v>0</v>
      </c>
      <c r="K4" s="1">
        <f t="shared" si="2"/>
        <v>0</v>
      </c>
      <c r="L4" s="1">
        <f t="shared" si="3"/>
        <v>0</v>
      </c>
      <c r="M4" s="1">
        <f t="shared" si="4"/>
        <v>0</v>
      </c>
      <c r="N4" s="15" t="s">
        <v>128</v>
      </c>
      <c r="O4" s="1">
        <f>SUM(D:D)</f>
        <v>60</v>
      </c>
    </row>
    <row r="5" spans="1:15" ht="12.75">
      <c r="A5" s="15" t="s">
        <v>267</v>
      </c>
      <c r="B5" s="1">
        <v>0</v>
      </c>
      <c r="C5" s="1">
        <v>0</v>
      </c>
      <c r="D5" s="1">
        <f>SUMIF(приб361!B:B,A5,приб361!G:G)</f>
        <v>0</v>
      </c>
      <c r="G5" s="1">
        <f t="shared" si="0"/>
        <v>0</v>
      </c>
      <c r="H5" s="1">
        <f>SUMIF('311'!C:C,A:A,'311'!E:E)</f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t="s">
        <v>125</v>
      </c>
      <c r="O5" s="1">
        <f>SUM(E:E)</f>
        <v>0</v>
      </c>
    </row>
    <row r="6" spans="1:15" ht="12.75">
      <c r="A6" s="15" t="s">
        <v>254</v>
      </c>
      <c r="B6" s="1">
        <v>0</v>
      </c>
      <c r="C6" s="1">
        <v>0</v>
      </c>
      <c r="D6" s="1">
        <f>SUMIF(приб361!B:B,A6,приб361!G:G)</f>
        <v>0</v>
      </c>
      <c r="G6" s="1">
        <f t="shared" si="0"/>
        <v>0</v>
      </c>
      <c r="H6" s="1">
        <f>SUMIF('311'!C:C,A:A,'311'!E:E)</f>
        <v>0</v>
      </c>
      <c r="J6" s="1">
        <f t="shared" si="1"/>
        <v>0</v>
      </c>
      <c r="K6" s="1">
        <f t="shared" si="2"/>
        <v>0</v>
      </c>
      <c r="L6" s="1">
        <f t="shared" si="3"/>
        <v>0</v>
      </c>
      <c r="M6" s="1">
        <f t="shared" si="4"/>
        <v>0</v>
      </c>
      <c r="N6" t="s">
        <v>125</v>
      </c>
      <c r="O6" s="1">
        <f>SUM(F:F)</f>
        <v>0</v>
      </c>
    </row>
    <row r="7" spans="1:15" ht="12.75">
      <c r="A7" s="24" t="s">
        <v>124</v>
      </c>
      <c r="B7" s="1">
        <v>0</v>
      </c>
      <c r="C7" s="1">
        <v>0</v>
      </c>
      <c r="D7" s="1">
        <f>SUMIF(приб361!B:B,A7,приб361!G:G)</f>
        <v>0</v>
      </c>
      <c r="G7" s="1">
        <f t="shared" si="0"/>
        <v>0</v>
      </c>
      <c r="H7" s="1">
        <f>SUMIF('311'!C:C,A:A,'311'!E:E)</f>
        <v>0</v>
      </c>
      <c r="J7" s="1">
        <f t="shared" si="1"/>
        <v>0</v>
      </c>
      <c r="K7" s="1">
        <f t="shared" si="2"/>
        <v>0</v>
      </c>
      <c r="L7" s="1">
        <f t="shared" si="3"/>
        <v>0</v>
      </c>
      <c r="M7" s="1">
        <f t="shared" si="4"/>
        <v>0</v>
      </c>
      <c r="N7" t="s">
        <v>16</v>
      </c>
      <c r="O7" s="1">
        <f>SUM(O4:O6)</f>
        <v>60</v>
      </c>
    </row>
    <row r="8" spans="1:15" ht="12.75">
      <c r="A8" s="15" t="s">
        <v>219</v>
      </c>
      <c r="B8" s="1">
        <v>0</v>
      </c>
      <c r="C8" s="1">
        <v>0</v>
      </c>
      <c r="D8" s="1">
        <f>SUMIF(приб361!B:B,A8,приб361!G:G)</f>
        <v>0</v>
      </c>
      <c r="G8" s="1">
        <f t="shared" si="0"/>
        <v>0</v>
      </c>
      <c r="H8" s="1">
        <f>SUMIF('311'!C:C,A:A,'311'!E:E)</f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>
        <v>311</v>
      </c>
      <c r="O8" s="1">
        <f>SUM(H:H)</f>
        <v>300</v>
      </c>
    </row>
    <row r="9" spans="1:15" ht="12.75">
      <c r="A9" s="15" t="s">
        <v>270</v>
      </c>
      <c r="B9" s="1">
        <v>0</v>
      </c>
      <c r="C9" s="1">
        <v>0</v>
      </c>
      <c r="D9" s="1">
        <f>SUMIF(приб361!B:B,A9,приб361!G:G)</f>
        <v>0</v>
      </c>
      <c r="G9" s="1">
        <f t="shared" si="0"/>
        <v>0</v>
      </c>
      <c r="H9" s="1">
        <f>SUMIF('311'!C:C,A:A,'311'!E:E)</f>
        <v>0</v>
      </c>
      <c r="J9" s="1">
        <f t="shared" si="1"/>
        <v>0</v>
      </c>
      <c r="K9" s="1">
        <f t="shared" si="2"/>
        <v>0</v>
      </c>
      <c r="L9" s="1">
        <f t="shared" si="3"/>
        <v>0</v>
      </c>
      <c r="M9" s="1">
        <f t="shared" si="4"/>
        <v>0</v>
      </c>
      <c r="N9">
        <v>631</v>
      </c>
      <c r="O9" s="1">
        <f>SUM(I:I)</f>
        <v>0</v>
      </c>
    </row>
    <row r="10" spans="1:15" ht="12.75">
      <c r="A10" s="15" t="s">
        <v>244</v>
      </c>
      <c r="B10" s="1">
        <v>0</v>
      </c>
      <c r="C10" s="1">
        <v>0</v>
      </c>
      <c r="D10" s="1">
        <f>SUMIF(приб361!B:B,A10,приб361!G:G)</f>
        <v>0</v>
      </c>
      <c r="G10" s="1">
        <f t="shared" si="0"/>
        <v>0</v>
      </c>
      <c r="H10" s="1">
        <f>SUMIF('311'!C:C,A:A,'311'!E:E)</f>
        <v>0</v>
      </c>
      <c r="J10" s="1">
        <f t="shared" si="1"/>
        <v>0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t="s">
        <v>16</v>
      </c>
      <c r="O10" s="1">
        <f>SUM(O8:O9)</f>
        <v>300</v>
      </c>
    </row>
    <row r="11" spans="1:15" ht="12.75">
      <c r="A11" s="15" t="s">
        <v>220</v>
      </c>
      <c r="B11" s="1">
        <v>0</v>
      </c>
      <c r="C11" s="1">
        <v>0</v>
      </c>
      <c r="D11" s="1">
        <f>SUMIF(приб361!B:B,A11,приб361!G:G)</f>
        <v>0</v>
      </c>
      <c r="G11" s="1">
        <f t="shared" si="0"/>
        <v>0</v>
      </c>
      <c r="H11" s="1">
        <f>SUMIF('311'!C:C,A:A,'311'!E:E)</f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  <c r="M11" s="1">
        <f t="shared" si="4"/>
        <v>0</v>
      </c>
      <c r="N11" t="s">
        <v>13</v>
      </c>
      <c r="O11" s="1">
        <f>SUM(L:L)</f>
        <v>0</v>
      </c>
    </row>
    <row r="12" spans="1:15" ht="12.75">
      <c r="A12" s="15" t="s">
        <v>240</v>
      </c>
      <c r="B12" s="1">
        <v>0</v>
      </c>
      <c r="C12" s="1">
        <v>0</v>
      </c>
      <c r="D12" s="1">
        <f>SUMIF(приб361!B:B,A12,приб361!G:G)</f>
        <v>0</v>
      </c>
      <c r="G12" s="1">
        <f t="shared" si="0"/>
        <v>0</v>
      </c>
      <c r="H12" s="1">
        <f>SUMIF('311'!C:C,A:A,'311'!E:E)</f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t="s">
        <v>14</v>
      </c>
      <c r="O12" s="1">
        <f>SUM(M:M)</f>
        <v>240</v>
      </c>
    </row>
    <row r="13" spans="1:13" ht="12.75">
      <c r="A13" s="15" t="s">
        <v>269</v>
      </c>
      <c r="B13" s="1">
        <v>0</v>
      </c>
      <c r="C13" s="1">
        <v>0</v>
      </c>
      <c r="D13" s="1">
        <f>SUMIF(приб361!B:B,A13,приб361!G:G)</f>
        <v>0</v>
      </c>
      <c r="G13" s="1">
        <f t="shared" si="0"/>
        <v>0</v>
      </c>
      <c r="H13" s="1">
        <f>SUMIF('311'!C:C,A:A,'311'!E:E)</f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</row>
    <row r="14" spans="1:13" ht="12.75">
      <c r="A14" s="15" t="s">
        <v>229</v>
      </c>
      <c r="B14" s="1">
        <v>0</v>
      </c>
      <c r="C14" s="1">
        <v>0</v>
      </c>
      <c r="D14" s="1">
        <f>SUMIF(приб361!B:B,A14,приб361!G:G)</f>
        <v>0</v>
      </c>
      <c r="G14" s="1">
        <f t="shared" si="0"/>
        <v>0</v>
      </c>
      <c r="H14" s="1">
        <f>SUMIF('311'!C:C,A:A,'311'!E:E)</f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</row>
    <row r="15" spans="1:13" ht="26.25">
      <c r="A15" s="15" t="s">
        <v>257</v>
      </c>
      <c r="B15" s="1">
        <v>0</v>
      </c>
      <c r="C15" s="1">
        <v>0</v>
      </c>
      <c r="D15" s="1">
        <f>SUMIF(приб361!B:B,A15,приб361!G:G)</f>
        <v>0</v>
      </c>
      <c r="G15" s="1">
        <f t="shared" si="0"/>
        <v>0</v>
      </c>
      <c r="H15" s="1">
        <f>SUMIF('311'!C:C,A:A,'311'!E:E)</f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</row>
    <row r="16" spans="1:13" ht="12.75">
      <c r="A16" s="15" t="s">
        <v>284</v>
      </c>
      <c r="B16" s="1">
        <v>0</v>
      </c>
      <c r="C16" s="1">
        <v>0</v>
      </c>
      <c r="D16" s="1">
        <f>SUMIF(приб361!B:B,A16,приб361!G:G)</f>
        <v>0</v>
      </c>
      <c r="G16" s="1">
        <f t="shared" si="0"/>
        <v>0</v>
      </c>
      <c r="H16" s="1">
        <f>SUMIF('311'!C:C,A:A,'311'!E:E)</f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</row>
    <row r="17" spans="1:13" ht="12.75">
      <c r="A17" s="15" t="s">
        <v>81</v>
      </c>
      <c r="B17" s="1">
        <v>0</v>
      </c>
      <c r="C17" s="1">
        <v>0</v>
      </c>
      <c r="D17" s="1">
        <f>SUMIF(приб361!B:B,A17,приб361!G:G)</f>
        <v>0</v>
      </c>
      <c r="G17" s="1">
        <f t="shared" si="0"/>
        <v>0</v>
      </c>
      <c r="H17" s="1">
        <f>SUMIF('311'!C:C,A:A,'311'!E:E)</f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</row>
    <row r="18" spans="1:13" ht="12.75">
      <c r="A18" s="15" t="s">
        <v>250</v>
      </c>
      <c r="B18" s="1">
        <v>0</v>
      </c>
      <c r="C18" s="1">
        <v>0</v>
      </c>
      <c r="D18" s="1">
        <f>SUMIF(приб361!B:B,A18,приб361!G:G)</f>
        <v>0</v>
      </c>
      <c r="G18" s="1">
        <f t="shared" si="0"/>
        <v>0</v>
      </c>
      <c r="H18" s="1">
        <f>SUMIF('311'!C:C,A:A,'311'!E:E)</f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</row>
    <row r="19" spans="1:13" ht="12.75">
      <c r="A19" s="15" t="s">
        <v>260</v>
      </c>
      <c r="B19" s="1">
        <v>0</v>
      </c>
      <c r="C19" s="1">
        <v>0</v>
      </c>
      <c r="D19" s="1">
        <f>SUMIF(приб361!B:B,A19,приб361!G:G)</f>
        <v>0</v>
      </c>
      <c r="G19" s="1">
        <f t="shared" si="0"/>
        <v>0</v>
      </c>
      <c r="H19" s="1">
        <f>SUMIF('311'!C:C,A:A,'311'!E:E)</f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</row>
    <row r="20" spans="1:13" ht="12.75">
      <c r="A20" s="15" t="s">
        <v>264</v>
      </c>
      <c r="B20" s="1">
        <v>0</v>
      </c>
      <c r="C20" s="1">
        <v>0</v>
      </c>
      <c r="D20" s="1">
        <f>SUMIF(приб361!B:B,A20,приб361!G:G)</f>
        <v>0</v>
      </c>
      <c r="G20" s="1">
        <f t="shared" si="0"/>
        <v>0</v>
      </c>
      <c r="H20" s="1">
        <f>SUMIF('311'!C:C,A:A,'311'!E:E)</f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</row>
    <row r="21" spans="1:13" ht="12.75">
      <c r="A21" s="15" t="s">
        <v>268</v>
      </c>
      <c r="B21" s="1">
        <v>0</v>
      </c>
      <c r="C21" s="1">
        <v>0</v>
      </c>
      <c r="D21" s="1">
        <f>SUMIF(приб361!B:B,A21,приб361!G:G)</f>
        <v>0</v>
      </c>
      <c r="G21" s="1">
        <f t="shared" si="0"/>
        <v>0</v>
      </c>
      <c r="H21" s="1">
        <f>SUMIF('311'!C:C,A:A,'311'!E:E)</f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</row>
    <row r="22" spans="1:13" ht="12.75">
      <c r="A22" s="15" t="s">
        <v>258</v>
      </c>
      <c r="B22" s="1">
        <v>0</v>
      </c>
      <c r="C22" s="1">
        <v>0</v>
      </c>
      <c r="D22" s="1">
        <f>SUMIF(приб361!B:B,A22,приб361!G:G)</f>
        <v>0</v>
      </c>
      <c r="G22" s="1">
        <f t="shared" si="0"/>
        <v>0</v>
      </c>
      <c r="H22" s="1">
        <f>SUMIF('311'!C:C,A:A,'311'!E:E)</f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</row>
    <row r="23" spans="1:13" ht="12.75">
      <c r="A23" s="15" t="s">
        <v>79</v>
      </c>
      <c r="B23" s="1">
        <v>0</v>
      </c>
      <c r="C23" s="1">
        <v>0</v>
      </c>
      <c r="D23" s="1">
        <f>SUMIF(приб361!B:B,A23,приб361!G:G)</f>
        <v>0</v>
      </c>
      <c r="G23" s="1">
        <f t="shared" si="0"/>
        <v>0</v>
      </c>
      <c r="H23" s="1">
        <f>SUMIF('311'!C:C,A:A,'311'!E:E)</f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</row>
    <row r="24" spans="1:13" ht="12.75">
      <c r="A24" s="15" t="s">
        <v>253</v>
      </c>
      <c r="B24" s="1">
        <v>0</v>
      </c>
      <c r="C24" s="1">
        <v>0</v>
      </c>
      <c r="D24" s="1">
        <f>SUMIF(приб361!B:B,A24,приб361!G:G)</f>
        <v>0</v>
      </c>
      <c r="G24" s="1">
        <f t="shared" si="0"/>
        <v>0</v>
      </c>
      <c r="H24" s="1">
        <f>SUMIF('311'!C:C,A:A,'311'!E:E)</f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</row>
    <row r="25" spans="1:13" ht="12.75">
      <c r="A25" s="15" t="s">
        <v>262</v>
      </c>
      <c r="B25" s="1">
        <v>0</v>
      </c>
      <c r="C25" s="1">
        <v>0</v>
      </c>
      <c r="D25" s="1">
        <f>SUMIF(приб361!B:B,A25,приб361!G:G)</f>
        <v>0</v>
      </c>
      <c r="G25" s="1">
        <f t="shared" si="0"/>
        <v>0</v>
      </c>
      <c r="H25" s="1">
        <f>SUMIF('311'!C:C,A:A,'311'!E:E)</f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</row>
    <row r="26" spans="1:13" ht="12.75">
      <c r="A26" s="15" t="s">
        <v>281</v>
      </c>
      <c r="B26" s="1">
        <v>0</v>
      </c>
      <c r="C26" s="1">
        <v>0</v>
      </c>
      <c r="D26" s="1">
        <f>SUMIF(приб361!B:B,A26,приб361!G:G)</f>
        <v>0</v>
      </c>
      <c r="G26" s="1">
        <f t="shared" si="0"/>
        <v>0</v>
      </c>
      <c r="H26" s="1">
        <f>SUMIF('311'!C:C,A:A,'311'!E:E)</f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</row>
    <row r="27" spans="1:13" ht="12.75">
      <c r="A27" s="15" t="s">
        <v>265</v>
      </c>
      <c r="B27" s="1">
        <v>0</v>
      </c>
      <c r="C27" s="1">
        <v>0</v>
      </c>
      <c r="D27" s="1">
        <f>SUMIF(приб361!B:B,A27,приб361!G:G)</f>
        <v>0</v>
      </c>
      <c r="G27" s="1">
        <f t="shared" si="0"/>
        <v>0</v>
      </c>
      <c r="H27" s="1">
        <f>SUMIF('311'!C:C,A:A,'311'!E:E)</f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</row>
    <row r="28" spans="1:13" ht="26.25">
      <c r="A28" s="24" t="s">
        <v>282</v>
      </c>
      <c r="B28" s="1">
        <v>0</v>
      </c>
      <c r="C28" s="1">
        <v>0</v>
      </c>
      <c r="D28" s="1">
        <f>SUMIF(приб361!B:B,A28,приб361!G:G)</f>
        <v>0</v>
      </c>
      <c r="G28" s="1">
        <f t="shared" si="0"/>
        <v>0</v>
      </c>
      <c r="H28" s="1">
        <f>SUMIF('311'!C:C,A:A,'311'!E:E)</f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</row>
    <row r="29" spans="1:13" ht="12.75">
      <c r="A29" s="15" t="s">
        <v>235</v>
      </c>
      <c r="B29" s="1">
        <v>0</v>
      </c>
      <c r="C29" s="1">
        <v>0</v>
      </c>
      <c r="D29" s="1">
        <f>SUMIF(приб361!B:B,A29,приб361!G:G)</f>
        <v>0</v>
      </c>
      <c r="G29" s="1">
        <f t="shared" si="0"/>
        <v>0</v>
      </c>
      <c r="H29" s="1">
        <f>SUMIF('311'!C:C,A:A,'311'!E:E)</f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</row>
    <row r="30" spans="1:13" ht="12.75">
      <c r="A30" s="15" t="s">
        <v>221</v>
      </c>
      <c r="B30" s="1">
        <v>0</v>
      </c>
      <c r="C30" s="1">
        <v>0</v>
      </c>
      <c r="D30" s="1">
        <f>SUMIF(приб361!B:B,A30,приб361!G:G)</f>
        <v>0</v>
      </c>
      <c r="G30" s="1">
        <f t="shared" si="0"/>
        <v>0</v>
      </c>
      <c r="H30" s="1">
        <f>SUMIF('311'!C:C,A:A,'311'!E:E)</f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</row>
    <row r="31" spans="1:13" ht="12.75">
      <c r="A31" s="15" t="s">
        <v>259</v>
      </c>
      <c r="B31" s="1">
        <v>0</v>
      </c>
      <c r="C31" s="1">
        <v>0</v>
      </c>
      <c r="D31" s="1">
        <f>SUMIF(приб361!B:B,A31,приб361!G:G)</f>
        <v>0</v>
      </c>
      <c r="G31" s="1">
        <f t="shared" si="0"/>
        <v>0</v>
      </c>
      <c r="H31" s="1">
        <f>SUMIF('311'!C:C,A:A,'311'!E:E)</f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</row>
    <row r="32" spans="1:13" ht="12.75">
      <c r="A32" s="15" t="s">
        <v>251</v>
      </c>
      <c r="B32" s="1">
        <v>0</v>
      </c>
      <c r="C32" s="1">
        <v>0</v>
      </c>
      <c r="D32" s="1">
        <f>SUMIF(приб361!B:B,A32,приб361!G:G)</f>
        <v>0</v>
      </c>
      <c r="G32" s="1">
        <f t="shared" si="0"/>
        <v>0</v>
      </c>
      <c r="H32" s="1">
        <f>SUMIF('311'!C:C,A:A,'311'!E:E)</f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</row>
  </sheetData>
  <sheetProtection/>
  <printOptions/>
  <pageMargins left="0.64" right="0.28" top="0.7" bottom="0.71" header="0.34" footer="0.36"/>
  <pageSetup orientation="landscape" paperSize="9" r:id="rId2"/>
  <headerFooter alignWithMargins="0">
    <oddHeader>&amp;CПокупці 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/>
  <dimension ref="A1:K2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.625" style="0" customWidth="1"/>
    <col min="2" max="2" width="22.375" style="15" customWidth="1"/>
    <col min="3" max="3" width="4.625" style="0" customWidth="1"/>
    <col min="4" max="6" width="9.125" style="1" customWidth="1"/>
    <col min="9" max="9" width="10.00390625" style="0" customWidth="1"/>
  </cols>
  <sheetData>
    <row r="1" spans="1:11" ht="50.25" customHeight="1">
      <c r="A1" t="s">
        <v>26</v>
      </c>
      <c r="B1" s="15" t="s">
        <v>112</v>
      </c>
      <c r="C1" t="s">
        <v>10</v>
      </c>
      <c r="D1" s="14" t="s">
        <v>113</v>
      </c>
      <c r="E1" s="14" t="s">
        <v>96</v>
      </c>
      <c r="F1" s="14">
        <v>643</v>
      </c>
      <c r="G1" s="44" t="s">
        <v>16</v>
      </c>
      <c r="K1" s="1"/>
    </row>
    <row r="2" spans="1:9" ht="12.75">
      <c r="A2">
        <v>12</v>
      </c>
      <c r="B2" s="24" t="s">
        <v>122</v>
      </c>
      <c r="C2">
        <v>702</v>
      </c>
      <c r="D2" s="1">
        <v>50</v>
      </c>
      <c r="E2" s="1">
        <v>10</v>
      </c>
      <c r="G2" s="1">
        <f>SUM(D2+E2+F2)</f>
        <v>60</v>
      </c>
      <c r="I2" t="s">
        <v>114</v>
      </c>
    </row>
    <row r="3" spans="7:9" ht="12.75">
      <c r="G3" s="1">
        <f aca="true" t="shared" si="0" ref="G3:G16">SUM(D3+E3+F3)</f>
        <v>0</v>
      </c>
      <c r="H3">
        <v>702</v>
      </c>
      <c r="I3" s="1">
        <f>SUMIF(C:C,H3,G:G)</f>
        <v>60</v>
      </c>
    </row>
    <row r="4" spans="7:9" ht="12.75">
      <c r="G4" s="1">
        <f t="shared" si="0"/>
        <v>0</v>
      </c>
      <c r="H4" t="s">
        <v>117</v>
      </c>
      <c r="I4" s="1"/>
    </row>
    <row r="5" spans="7:9" ht="12.75">
      <c r="G5" s="1">
        <f t="shared" si="0"/>
        <v>0</v>
      </c>
      <c r="H5">
        <v>703</v>
      </c>
      <c r="I5" s="1">
        <f>SUMIF(C:C,H5,G:G)</f>
        <v>0</v>
      </c>
    </row>
    <row r="6" spans="7:9" ht="12.75">
      <c r="G6" s="1">
        <f t="shared" si="0"/>
        <v>0</v>
      </c>
      <c r="H6" t="s">
        <v>115</v>
      </c>
      <c r="I6" s="1">
        <f>SUM(I3:I5)</f>
        <v>60</v>
      </c>
    </row>
    <row r="7" spans="7:9" ht="12.75">
      <c r="G7" s="1">
        <f t="shared" si="0"/>
        <v>0</v>
      </c>
      <c r="H7" s="17" t="s">
        <v>116</v>
      </c>
      <c r="I7" s="18">
        <v>702</v>
      </c>
    </row>
    <row r="8" spans="7:9" ht="12.75">
      <c r="G8" s="1">
        <f t="shared" si="0"/>
        <v>0</v>
      </c>
      <c r="H8">
        <v>791</v>
      </c>
      <c r="I8" s="1">
        <f>SUMIF(C:C,I7,D:D)</f>
        <v>50</v>
      </c>
    </row>
    <row r="9" spans="7:9" ht="12.75">
      <c r="G9" s="1">
        <f t="shared" si="0"/>
        <v>0</v>
      </c>
      <c r="H9">
        <v>6411</v>
      </c>
      <c r="I9" s="1">
        <f>SUMIF(C:C,I7,E:E)</f>
        <v>10</v>
      </c>
    </row>
    <row r="10" spans="7:11" ht="12.75">
      <c r="G10" s="1">
        <f t="shared" si="0"/>
        <v>0</v>
      </c>
      <c r="H10">
        <v>643</v>
      </c>
      <c r="I10" s="1">
        <f>SUMIF(C:C,I7,F:F)</f>
        <v>0</v>
      </c>
      <c r="K10" s="1"/>
    </row>
    <row r="11" spans="7:9" ht="12.75">
      <c r="G11" s="1">
        <f t="shared" si="0"/>
        <v>0</v>
      </c>
      <c r="H11" t="s">
        <v>115</v>
      </c>
      <c r="I11" s="1">
        <f>SUM(I8:I10)</f>
        <v>60</v>
      </c>
    </row>
    <row r="12" spans="7:9" ht="12.75">
      <c r="G12" s="1">
        <f t="shared" si="0"/>
        <v>0</v>
      </c>
      <c r="H12" s="17" t="s">
        <v>116</v>
      </c>
      <c r="I12" s="18">
        <v>703</v>
      </c>
    </row>
    <row r="13" spans="7:9" ht="12.75">
      <c r="G13" s="1">
        <f t="shared" si="0"/>
        <v>0</v>
      </c>
      <c r="H13">
        <v>791</v>
      </c>
      <c r="I13" s="1">
        <f>SUMIF(C:C,I12,D:D)</f>
        <v>0</v>
      </c>
    </row>
    <row r="14" spans="7:9" ht="12.75">
      <c r="G14" s="1">
        <f t="shared" si="0"/>
        <v>0</v>
      </c>
      <c r="H14">
        <v>6411</v>
      </c>
      <c r="I14" s="1">
        <f>SUMIF(C:C,I12,E:E)</f>
        <v>0</v>
      </c>
    </row>
    <row r="15" spans="7:9" ht="12.75">
      <c r="G15" s="1">
        <f t="shared" si="0"/>
        <v>0</v>
      </c>
      <c r="H15">
        <v>643</v>
      </c>
      <c r="I15" s="1">
        <f>SUMIF(C:C,I12,F2:F27)</f>
        <v>0</v>
      </c>
    </row>
    <row r="16" spans="7:9" ht="12.75">
      <c r="G16" s="1">
        <f t="shared" si="0"/>
        <v>0</v>
      </c>
      <c r="H16" t="s">
        <v>115</v>
      </c>
      <c r="I16" s="1">
        <f>SUM(I13:I15)</f>
        <v>0</v>
      </c>
    </row>
    <row r="17" spans="8:9" ht="12.75">
      <c r="H17" t="s">
        <v>180</v>
      </c>
      <c r="I17" s="1">
        <f>I11+I16</f>
        <v>60</v>
      </c>
    </row>
    <row r="19" ht="12.75">
      <c r="I19" t="s">
        <v>232</v>
      </c>
    </row>
    <row r="20" spans="8:9" ht="12.75">
      <c r="H20">
        <v>643</v>
      </c>
      <c r="I20" s="1">
        <f>SUMIF(C:C,H20,E:E)</f>
        <v>0</v>
      </c>
    </row>
    <row r="22" spans="8:9" ht="12.75">
      <c r="H22" t="s">
        <v>96</v>
      </c>
      <c r="I22" s="1">
        <f>I9+I14+I20</f>
        <v>10</v>
      </c>
    </row>
  </sheetData>
  <sheetProtection/>
  <printOptions/>
  <pageMargins left="0.44" right="0.48" top="0.61" bottom="0.72" header="0.18" footer="0.27"/>
  <pageSetup orientation="landscape" paperSize="11" r:id="rId2"/>
  <headerFooter alignWithMargins="0">
    <oddHeader>&amp;CВідвантаження (покупці) за
&amp;Fр.&amp;RТОВ"Автопневмотех"
Код за ЄДРПОУ 25163861</oddHeader>
    <oddFooter>&amp;RСтор.&amp;P
Всього &amp;Nстор.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1"/>
  <dimension ref="A1:S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00390625" defaultRowHeight="12.75"/>
  <cols>
    <col min="1" max="1" width="16.00390625" style="0" bestFit="1" customWidth="1"/>
    <col min="3" max="3" width="7.50390625" style="0" customWidth="1"/>
    <col min="4" max="4" width="7.875" style="0" customWidth="1"/>
    <col min="5" max="5" width="7.50390625" style="0" customWidth="1"/>
    <col min="7" max="7" width="10.375" style="0" bestFit="1" customWidth="1"/>
    <col min="9" max="11" width="10.50390625" style="0" bestFit="1" customWidth="1"/>
  </cols>
  <sheetData>
    <row r="1" spans="1:19" ht="75.75" customHeight="1">
      <c r="A1" t="s">
        <v>12</v>
      </c>
      <c r="B1" s="23" t="s">
        <v>7</v>
      </c>
      <c r="C1" s="15" t="s">
        <v>191</v>
      </c>
      <c r="D1" s="15" t="s">
        <v>192</v>
      </c>
      <c r="E1" s="15" t="s">
        <v>193</v>
      </c>
      <c r="F1" s="15" t="s">
        <v>195</v>
      </c>
      <c r="G1" s="15" t="s">
        <v>194</v>
      </c>
      <c r="H1" s="15" t="s">
        <v>202</v>
      </c>
      <c r="I1" t="s">
        <v>185</v>
      </c>
      <c r="J1" s="23" t="s">
        <v>16</v>
      </c>
      <c r="K1" t="s">
        <v>130</v>
      </c>
      <c r="L1" t="s">
        <v>131</v>
      </c>
      <c r="M1" s="22" t="s">
        <v>132</v>
      </c>
      <c r="N1" s="22" t="s">
        <v>133</v>
      </c>
      <c r="O1" s="22" t="s">
        <v>134</v>
      </c>
      <c r="P1" s="23" t="s">
        <v>135</v>
      </c>
      <c r="Q1" s="23" t="s">
        <v>136</v>
      </c>
      <c r="R1" s="23" t="s">
        <v>16</v>
      </c>
      <c r="S1" s="23" t="s">
        <v>7</v>
      </c>
    </row>
    <row r="2" spans="1:19" ht="12.75">
      <c r="A2" t="s">
        <v>77</v>
      </c>
      <c r="B2" s="1">
        <v>496.26</v>
      </c>
      <c r="C2" s="14"/>
      <c r="D2" s="14"/>
      <c r="E2" s="14"/>
      <c r="F2" s="3"/>
      <c r="G2" s="3"/>
      <c r="H2" s="3"/>
      <c r="I2" s="3"/>
      <c r="J2" s="1">
        <f>SUM(F2:I2)</f>
        <v>0</v>
      </c>
      <c r="K2" s="3"/>
      <c r="L2" s="3"/>
      <c r="M2" s="1">
        <f>IF((F2+G2+H2)&lt;=150,(F2+G2+H2)*0.0025,0)</f>
        <v>0</v>
      </c>
      <c r="N2" s="1">
        <f>IF((F2+G2+H2)&gt;150,(F2+G2+H2)*0.005,0)</f>
        <v>0</v>
      </c>
      <c r="O2" s="1">
        <f>(F2+G2+H2)*0.005</f>
        <v>0</v>
      </c>
      <c r="P2" s="1">
        <f>IF((F2+G2+H2)&lt;=150,(F2+G2+H2)*0.01,0)</f>
        <v>0</v>
      </c>
      <c r="Q2" s="1">
        <f>IF((F2+G2+H2)&gt;150,(F2+G2+H2)*0.02,0)</f>
        <v>0</v>
      </c>
      <c r="R2" s="1">
        <f>SUM(K2:Q2)</f>
        <v>0</v>
      </c>
      <c r="S2" s="1">
        <f>B2+J2-R2</f>
        <v>496.26</v>
      </c>
    </row>
    <row r="3" spans="1:19" ht="12.75">
      <c r="A3" t="s">
        <v>217</v>
      </c>
      <c r="B3" s="1">
        <v>0</v>
      </c>
      <c r="C3" s="14"/>
      <c r="D3" s="14"/>
      <c r="E3" s="14"/>
      <c r="F3" s="3"/>
      <c r="G3" s="3"/>
      <c r="H3" s="3"/>
      <c r="I3" s="3"/>
      <c r="J3" s="1">
        <f>SUM(F3:I3)</f>
        <v>0</v>
      </c>
      <c r="K3" s="3"/>
      <c r="L3" s="3"/>
      <c r="M3" s="1">
        <f>IF((F3+G3+H3)&lt;=150,(F3+G3+H3)*0.0025,0)</f>
        <v>0</v>
      </c>
      <c r="N3" s="1">
        <f>IF((F3+G3+H3)&gt;150,(F3+G3+H3)*0.005,0)</f>
        <v>0</v>
      </c>
      <c r="O3" s="1">
        <f>(F3+G3+H3)*0.005</f>
        <v>0</v>
      </c>
      <c r="P3" s="1">
        <f>IF((F3+G3+H3)&lt;=150,(F3+G3+H3)*0.01,0)</f>
        <v>0</v>
      </c>
      <c r="Q3" s="1">
        <f>IF((F3+G3+H3)&gt;150,(F3+G3+H3)*0.02,0)</f>
        <v>0</v>
      </c>
      <c r="R3" s="1">
        <f>SUM(K3:Q3)</f>
        <v>0</v>
      </c>
      <c r="S3" s="1">
        <f>B3+J3-R3</f>
        <v>0</v>
      </c>
    </row>
    <row r="4" spans="1:19" ht="12.75">
      <c r="A4" t="s">
        <v>78</v>
      </c>
      <c r="B4" s="1">
        <v>388.39</v>
      </c>
      <c r="C4" s="14"/>
      <c r="D4" s="14"/>
      <c r="E4" s="14"/>
      <c r="F4" s="3"/>
      <c r="G4" s="3"/>
      <c r="H4" s="3"/>
      <c r="I4" s="3"/>
      <c r="J4" s="1">
        <f>SUM(F4:I4)</f>
        <v>0</v>
      </c>
      <c r="K4" s="3"/>
      <c r="L4" s="3"/>
      <c r="M4" s="1">
        <f>IF((F4+G4+H4)&lt;=150,(F4+G4+H4)*0.0025,0)</f>
        <v>0</v>
      </c>
      <c r="N4" s="1">
        <f>IF((F4+G4+H4)&gt;150,(F4+G4+H4)*0.005,0)</f>
        <v>0</v>
      </c>
      <c r="O4" s="1">
        <f>(F4+G4+H4)*0.005</f>
        <v>0</v>
      </c>
      <c r="P4" s="1">
        <f>IF((F4+G4+H4)&lt;=150,(F4+G4+H4)*0.01,0)</f>
        <v>0</v>
      </c>
      <c r="Q4" s="1">
        <f>IF((F4+G4+H4)&gt;150,(F4+G4+H4)*0.02,0)</f>
        <v>0</v>
      </c>
      <c r="R4" s="1">
        <f>SUM(K4:Q4)</f>
        <v>0</v>
      </c>
      <c r="S4" s="1">
        <f>B4+J4-R4</f>
        <v>388.39</v>
      </c>
    </row>
    <row r="5" spans="2:19" ht="12.75">
      <c r="B5" s="1">
        <f aca="true" t="shared" si="0" ref="B5:H5">SUM(B2:B4)</f>
        <v>884.65</v>
      </c>
      <c r="C5" s="14">
        <f>SUM(C2:C4)</f>
        <v>0</v>
      </c>
      <c r="D5" s="14">
        <f>SUM(D2:D4)</f>
        <v>0</v>
      </c>
      <c r="E5" s="14">
        <f>SUM(E2:E4)</f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aca="true" t="shared" si="1" ref="I5:S5">SUM(I2:I4)</f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884.65</v>
      </c>
    </row>
    <row r="7" spans="1:11" ht="12.75">
      <c r="A7" t="s">
        <v>137</v>
      </c>
      <c r="B7" s="1">
        <f>(F4+G4+H4)*0.32</f>
        <v>0</v>
      </c>
      <c r="C7" t="s">
        <v>147</v>
      </c>
      <c r="D7" s="1">
        <f>SUM(B7+B8)</f>
        <v>0</v>
      </c>
      <c r="E7" s="1"/>
      <c r="I7" t="s">
        <v>202</v>
      </c>
      <c r="J7" t="s">
        <v>203</v>
      </c>
      <c r="K7" t="s">
        <v>204</v>
      </c>
    </row>
    <row r="8" spans="1:11" ht="26.25">
      <c r="A8" t="s">
        <v>138</v>
      </c>
      <c r="B8" s="1">
        <f>SUM(F2:H3)*0.32</f>
        <v>0</v>
      </c>
      <c r="F8" s="15" t="s">
        <v>196</v>
      </c>
      <c r="G8" s="15" t="s">
        <v>197</v>
      </c>
      <c r="H8" t="s">
        <v>198</v>
      </c>
      <c r="I8" s="6" t="s">
        <v>205</v>
      </c>
      <c r="J8">
        <v>216.52</v>
      </c>
      <c r="K8">
        <v>30</v>
      </c>
    </row>
    <row r="9" spans="1:11" ht="12.75">
      <c r="A9" t="s">
        <v>139</v>
      </c>
      <c r="B9" s="1">
        <f>P5+Q5</f>
        <v>0</v>
      </c>
      <c r="F9" s="14" t="s">
        <v>218</v>
      </c>
      <c r="G9">
        <v>19</v>
      </c>
      <c r="H9">
        <v>475</v>
      </c>
      <c r="I9" s="6" t="s">
        <v>206</v>
      </c>
      <c r="J9">
        <v>480.44</v>
      </c>
      <c r="K9">
        <v>30</v>
      </c>
    </row>
    <row r="10" spans="1:11" ht="12.75">
      <c r="A10" t="s">
        <v>16</v>
      </c>
      <c r="B10" s="1">
        <f>SUM(B7:B9)</f>
        <v>0</v>
      </c>
      <c r="F10" s="14" t="s">
        <v>216</v>
      </c>
      <c r="G10">
        <v>21</v>
      </c>
      <c r="H10">
        <v>477.27</v>
      </c>
      <c r="I10" s="6" t="s">
        <v>207</v>
      </c>
      <c r="J10">
        <v>554.51</v>
      </c>
      <c r="K10">
        <v>31</v>
      </c>
    </row>
    <row r="11" spans="1:11" ht="12.75">
      <c r="A11" t="s">
        <v>140</v>
      </c>
      <c r="B11" s="1">
        <f>(F4+G4+H4)*0.025</f>
        <v>0</v>
      </c>
      <c r="C11" t="s">
        <v>149</v>
      </c>
      <c r="D11" s="1">
        <f>SUM(B11+B12)</f>
        <v>0</v>
      </c>
      <c r="E11" s="1"/>
      <c r="F11" t="s">
        <v>20</v>
      </c>
      <c r="G11" s="23">
        <f>SUM(G9:G10)</f>
        <v>40</v>
      </c>
      <c r="H11" s="23">
        <f>SUM(H9:H10)</f>
        <v>952.27</v>
      </c>
      <c r="I11" s="6" t="s">
        <v>208</v>
      </c>
      <c r="J11">
        <v>273.15</v>
      </c>
      <c r="K11">
        <v>30</v>
      </c>
    </row>
    <row r="12" spans="1:11" ht="26.25">
      <c r="A12" t="s">
        <v>141</v>
      </c>
      <c r="B12" s="1">
        <f>SUM(F2:H3)*0.025</f>
        <v>0</v>
      </c>
      <c r="F12" s="15" t="s">
        <v>199</v>
      </c>
      <c r="H12" s="25">
        <f>H11/G11</f>
        <v>23.81</v>
      </c>
      <c r="I12" s="6" t="s">
        <v>209</v>
      </c>
      <c r="J12">
        <v>537.65</v>
      </c>
      <c r="K12">
        <v>31</v>
      </c>
    </row>
    <row r="13" spans="1:11" ht="12.75">
      <c r="A13" t="s">
        <v>142</v>
      </c>
      <c r="B13" s="1">
        <f>M5+N5</f>
        <v>0</v>
      </c>
      <c r="I13" s="6" t="s">
        <v>210</v>
      </c>
      <c r="J13">
        <v>154.76</v>
      </c>
      <c r="K13">
        <v>29</v>
      </c>
    </row>
    <row r="14" spans="1:11" ht="12.75">
      <c r="A14" t="s">
        <v>16</v>
      </c>
      <c r="B14" s="1">
        <f>SUM(B11:B13)</f>
        <v>0</v>
      </c>
      <c r="I14" s="6" t="s">
        <v>211</v>
      </c>
      <c r="J14">
        <v>256.39</v>
      </c>
      <c r="K14">
        <v>28</v>
      </c>
    </row>
    <row r="15" spans="1:11" ht="12.75">
      <c r="A15" t="s">
        <v>143</v>
      </c>
      <c r="B15" s="1">
        <f>(F4+G4+H4)*0.025</f>
        <v>0</v>
      </c>
      <c r="C15" t="s">
        <v>150</v>
      </c>
      <c r="D15" s="1">
        <f>SUM(B15+B16)</f>
        <v>0</v>
      </c>
      <c r="E15" s="1"/>
      <c r="I15" s="6" t="s">
        <v>212</v>
      </c>
      <c r="J15">
        <v>205.61</v>
      </c>
      <c r="K15">
        <v>30</v>
      </c>
    </row>
    <row r="16" spans="1:11" ht="12.75">
      <c r="A16" t="s">
        <v>144</v>
      </c>
      <c r="B16" s="1">
        <f>SUM(F2:H3)*0.025</f>
        <v>0</v>
      </c>
      <c r="I16" s="6" t="s">
        <v>213</v>
      </c>
      <c r="J16">
        <v>292.6</v>
      </c>
      <c r="K16">
        <v>29</v>
      </c>
    </row>
    <row r="17" spans="1:11" ht="12.75">
      <c r="A17" t="s">
        <v>145</v>
      </c>
      <c r="B17" s="1">
        <f>O5</f>
        <v>0</v>
      </c>
      <c r="I17" s="6" t="s">
        <v>214</v>
      </c>
      <c r="J17">
        <v>344.65</v>
      </c>
      <c r="K17">
        <v>28</v>
      </c>
    </row>
    <row r="18" spans="1:11" ht="12.75">
      <c r="A18" t="s">
        <v>16</v>
      </c>
      <c r="B18" s="1">
        <f>SUM(B15:B17)</f>
        <v>0</v>
      </c>
      <c r="I18" s="6" t="s">
        <v>188</v>
      </c>
      <c r="J18">
        <v>241.75</v>
      </c>
      <c r="K18">
        <v>28</v>
      </c>
    </row>
    <row r="19" spans="1:11" ht="12.75">
      <c r="A19" t="s">
        <v>146</v>
      </c>
      <c r="B19" s="1">
        <f>L5</f>
        <v>0</v>
      </c>
      <c r="I19" s="6" t="s">
        <v>215</v>
      </c>
      <c r="J19">
        <v>482.8</v>
      </c>
      <c r="K19">
        <v>31</v>
      </c>
    </row>
    <row r="20" spans="1:11" ht="12.75">
      <c r="A20" t="s">
        <v>148</v>
      </c>
      <c r="B20" s="1">
        <f>K5</f>
        <v>0</v>
      </c>
      <c r="J20" s="23">
        <f>SUM(J8:J19)</f>
        <v>4040.83</v>
      </c>
      <c r="K20" s="23">
        <f>SUM(K8:K19)</f>
        <v>355</v>
      </c>
    </row>
    <row r="21" spans="1:11" ht="26.25">
      <c r="A21" t="s">
        <v>151</v>
      </c>
      <c r="B21" s="1">
        <f>(F4+G4+H4)*0.0102</f>
        <v>0</v>
      </c>
      <c r="C21" s="15" t="s">
        <v>153</v>
      </c>
      <c r="D21" s="1">
        <f>SUM(B21:B22)</f>
        <v>0</v>
      </c>
      <c r="E21" s="1"/>
      <c r="I21" s="15" t="s">
        <v>199</v>
      </c>
      <c r="K21" s="25">
        <f>J20/K20</f>
        <v>11.38</v>
      </c>
    </row>
    <row r="22" spans="1:2" ht="12.75">
      <c r="A22" t="s">
        <v>152</v>
      </c>
      <c r="B22" s="1">
        <f>SUM(F2:H3)*0.0102</f>
        <v>0</v>
      </c>
    </row>
    <row r="23" spans="1:2" ht="12.75">
      <c r="A23" t="s">
        <v>16</v>
      </c>
      <c r="B23" s="1">
        <f>SUM(B21:B22)</f>
        <v>0</v>
      </c>
    </row>
  </sheetData>
  <sheetProtection/>
  <printOptions/>
  <pageMargins left="0.68" right="0.39" top="1" bottom="1" header="0.5" footer="0.5"/>
  <pageSetup orientation="landscape" paperSize="9" r:id="rId2"/>
  <headerFooter alignWithMargins="0">
    <oddHeader>&amp;CЗарплата 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N2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1" sqref="H11"/>
    </sheetView>
  </sheetViews>
  <sheetFormatPr defaultColWidth="9.00390625" defaultRowHeight="12.75"/>
  <cols>
    <col min="1" max="1" width="20.50390625" style="0" customWidth="1"/>
    <col min="2" max="2" width="9.375" style="0" customWidth="1"/>
    <col min="3" max="3" width="6.00390625" style="0" bestFit="1" customWidth="1"/>
    <col min="6" max="6" width="9.625" style="0" bestFit="1" customWidth="1"/>
    <col min="10" max="10" width="9.875" style="0" customWidth="1"/>
    <col min="11" max="11" width="9.125" style="1" customWidth="1"/>
    <col min="12" max="12" width="8.375" style="0" customWidth="1"/>
    <col min="13" max="13" width="9.375" style="0" customWidth="1"/>
  </cols>
  <sheetData>
    <row r="1" spans="1:11" ht="63" customHeight="1">
      <c r="A1" t="s">
        <v>154</v>
      </c>
      <c r="B1" s="15" t="s">
        <v>155</v>
      </c>
      <c r="C1" s="15" t="s">
        <v>29</v>
      </c>
      <c r="D1" t="s">
        <v>156</v>
      </c>
      <c r="E1" t="s">
        <v>157</v>
      </c>
      <c r="F1" s="43" t="s">
        <v>158</v>
      </c>
      <c r="G1" s="15" t="s">
        <v>159</v>
      </c>
      <c r="H1" s="15" t="s">
        <v>160</v>
      </c>
      <c r="I1" s="15" t="s">
        <v>161</v>
      </c>
      <c r="J1" s="42" t="s">
        <v>162</v>
      </c>
      <c r="K1" s="19" t="s">
        <v>163</v>
      </c>
    </row>
    <row r="2" spans="2:13" ht="26.25">
      <c r="B2" s="41"/>
      <c r="F2">
        <f aca="true" t="shared" si="0" ref="F2:F21">E2-D2</f>
        <v>0</v>
      </c>
      <c r="J2">
        <f aca="true" t="shared" si="1" ref="J2:J21">G2+H2-I2</f>
        <v>0</v>
      </c>
      <c r="L2" s="15" t="s">
        <v>158</v>
      </c>
      <c r="M2" s="1">
        <f>SUM(F:F)</f>
        <v>0</v>
      </c>
    </row>
    <row r="3" spans="2:13" ht="39">
      <c r="B3" s="41"/>
      <c r="F3">
        <f t="shared" si="0"/>
        <v>0</v>
      </c>
      <c r="J3">
        <f t="shared" si="1"/>
        <v>0</v>
      </c>
      <c r="L3" s="15" t="s">
        <v>162</v>
      </c>
      <c r="M3" s="1">
        <f>SUM(J:J)</f>
        <v>0</v>
      </c>
    </row>
    <row r="4" spans="2:13" ht="26.25">
      <c r="B4" s="41"/>
      <c r="F4">
        <f t="shared" si="0"/>
        <v>0</v>
      </c>
      <c r="J4">
        <f t="shared" si="1"/>
        <v>0</v>
      </c>
      <c r="L4" s="15" t="s">
        <v>163</v>
      </c>
      <c r="M4" s="1">
        <f>SUM(K:K)</f>
        <v>0</v>
      </c>
    </row>
    <row r="5" spans="2:13" ht="26.25">
      <c r="B5" s="41"/>
      <c r="F5">
        <f t="shared" si="0"/>
        <v>0</v>
      </c>
      <c r="J5">
        <f t="shared" si="1"/>
        <v>0</v>
      </c>
      <c r="L5" s="15" t="s">
        <v>164</v>
      </c>
      <c r="M5" s="1">
        <f>M4/1.2*0.15</f>
        <v>0</v>
      </c>
    </row>
    <row r="6" spans="2:14" ht="52.5">
      <c r="B6" s="41"/>
      <c r="F6">
        <f t="shared" si="0"/>
        <v>0</v>
      </c>
      <c r="J6">
        <f t="shared" si="1"/>
        <v>0</v>
      </c>
      <c r="L6" s="15" t="s">
        <v>183</v>
      </c>
      <c r="M6" s="1"/>
      <c r="N6" s="15" t="s">
        <v>261</v>
      </c>
    </row>
    <row r="7" spans="2:13" ht="12.75">
      <c r="B7" s="41"/>
      <c r="F7">
        <f t="shared" si="0"/>
        <v>0</v>
      </c>
      <c r="J7">
        <f t="shared" si="1"/>
        <v>0</v>
      </c>
      <c r="L7" t="s">
        <v>16</v>
      </c>
      <c r="M7" s="1">
        <f>SUM(M5:M6)</f>
        <v>0</v>
      </c>
    </row>
    <row r="8" spans="2:10" ht="12.75">
      <c r="B8" s="41"/>
      <c r="F8">
        <f t="shared" si="0"/>
        <v>0</v>
      </c>
      <c r="J8">
        <f t="shared" si="1"/>
        <v>0</v>
      </c>
    </row>
    <row r="9" spans="2:10" ht="12.75">
      <c r="B9" s="41"/>
      <c r="F9">
        <f t="shared" si="0"/>
        <v>0</v>
      </c>
      <c r="J9">
        <f t="shared" si="1"/>
        <v>0</v>
      </c>
    </row>
    <row r="10" spans="1:10" ht="12.75">
      <c r="A10" s="2"/>
      <c r="B10" s="41"/>
      <c r="F10">
        <f t="shared" si="0"/>
        <v>0</v>
      </c>
      <c r="J10">
        <f t="shared" si="1"/>
        <v>0</v>
      </c>
    </row>
    <row r="11" spans="2:10" ht="12.75">
      <c r="B11" s="41"/>
      <c r="F11">
        <f t="shared" si="0"/>
        <v>0</v>
      </c>
      <c r="J11">
        <f t="shared" si="1"/>
        <v>0</v>
      </c>
    </row>
    <row r="12" spans="2:10" ht="12.75">
      <c r="B12" s="41"/>
      <c r="F12">
        <f t="shared" si="0"/>
        <v>0</v>
      </c>
      <c r="J12">
        <f t="shared" si="1"/>
        <v>0</v>
      </c>
    </row>
    <row r="13" spans="2:10" ht="12.75">
      <c r="B13" s="41"/>
      <c r="F13">
        <f t="shared" si="0"/>
        <v>0</v>
      </c>
      <c r="J13">
        <f t="shared" si="1"/>
        <v>0</v>
      </c>
    </row>
    <row r="14" spans="2:10" ht="12.75">
      <c r="B14" s="41"/>
      <c r="F14">
        <f t="shared" si="0"/>
        <v>0</v>
      </c>
      <c r="J14">
        <f t="shared" si="1"/>
        <v>0</v>
      </c>
    </row>
    <row r="15" spans="2:10" ht="12.75">
      <c r="B15" s="41"/>
      <c r="F15">
        <f t="shared" si="0"/>
        <v>0</v>
      </c>
      <c r="J15">
        <f t="shared" si="1"/>
        <v>0</v>
      </c>
    </row>
    <row r="16" spans="2:10" ht="12.75">
      <c r="B16" s="41"/>
      <c r="F16">
        <f t="shared" si="0"/>
        <v>0</v>
      </c>
      <c r="J16">
        <f t="shared" si="1"/>
        <v>0</v>
      </c>
    </row>
    <row r="17" spans="2:10" ht="12.75">
      <c r="B17" s="41"/>
      <c r="F17">
        <f t="shared" si="0"/>
        <v>0</v>
      </c>
      <c r="J17">
        <f t="shared" si="1"/>
        <v>0</v>
      </c>
    </row>
    <row r="18" spans="2:10" ht="12.75">
      <c r="B18" s="41"/>
      <c r="F18">
        <f t="shared" si="0"/>
        <v>0</v>
      </c>
      <c r="J18">
        <f t="shared" si="1"/>
        <v>0</v>
      </c>
    </row>
    <row r="19" spans="2:10" ht="12.75">
      <c r="B19" s="41"/>
      <c r="F19">
        <f t="shared" si="0"/>
        <v>0</v>
      </c>
      <c r="J19">
        <f t="shared" si="1"/>
        <v>0</v>
      </c>
    </row>
    <row r="20" spans="2:10" ht="12.75">
      <c r="B20" s="41"/>
      <c r="F20">
        <f t="shared" si="0"/>
        <v>0</v>
      </c>
      <c r="J20">
        <f t="shared" si="1"/>
        <v>0</v>
      </c>
    </row>
    <row r="21" spans="6:10" ht="12.75">
      <c r="F21">
        <f t="shared" si="0"/>
        <v>0</v>
      </c>
      <c r="J21">
        <f t="shared" si="1"/>
        <v>0</v>
      </c>
    </row>
  </sheetData>
  <sheetProtection/>
  <printOptions/>
  <pageMargins left="0.53" right="0.43" top="1" bottom="1" header="0.5" footer="0.5"/>
  <pageSetup orientation="landscape" paperSize="9" r:id="rId2"/>
  <headerFooter alignWithMargins="0">
    <oddHeader>&amp;CЗвід по шляховим листам 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1"/>
  <dimension ref="A1:M2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" sqref="H2"/>
    </sheetView>
  </sheetViews>
  <sheetFormatPr defaultColWidth="9.00390625" defaultRowHeight="12.75"/>
  <cols>
    <col min="1" max="1" width="5.875" style="0" customWidth="1"/>
    <col min="3" max="3" width="5.375" style="0" customWidth="1"/>
    <col min="6" max="6" width="9.625" style="0" bestFit="1" customWidth="1"/>
    <col min="10" max="10" width="9.875" style="0" customWidth="1"/>
    <col min="11" max="11" width="3.875" style="1" customWidth="1"/>
    <col min="12" max="12" width="8.375" style="0" customWidth="1"/>
  </cols>
  <sheetData>
    <row r="1" spans="1:11" ht="63" customHeight="1">
      <c r="A1" s="15" t="s">
        <v>154</v>
      </c>
      <c r="B1" s="13" t="s">
        <v>155</v>
      </c>
      <c r="C1" s="15" t="s">
        <v>29</v>
      </c>
      <c r="D1" t="s">
        <v>156</v>
      </c>
      <c r="E1" t="s">
        <v>157</v>
      </c>
      <c r="F1" s="43" t="s">
        <v>158</v>
      </c>
      <c r="G1" s="15" t="s">
        <v>159</v>
      </c>
      <c r="H1" s="15" t="s">
        <v>160</v>
      </c>
      <c r="I1" s="15" t="s">
        <v>161</v>
      </c>
      <c r="J1" s="42" t="s">
        <v>162</v>
      </c>
      <c r="K1" s="19" t="s">
        <v>163</v>
      </c>
    </row>
    <row r="2" spans="2:13" ht="26.25">
      <c r="B2" s="6"/>
      <c r="F2">
        <f aca="true" t="shared" si="0" ref="F2:F24">E2-D2</f>
        <v>0</v>
      </c>
      <c r="J2">
        <f aca="true" t="shared" si="1" ref="J2:J24">G2+H2-I2</f>
        <v>0</v>
      </c>
      <c r="L2" s="15" t="s">
        <v>158</v>
      </c>
      <c r="M2" s="1">
        <f>SUM(F:F)</f>
        <v>0</v>
      </c>
    </row>
    <row r="3" spans="2:13" ht="39">
      <c r="B3" s="6"/>
      <c r="F3">
        <f t="shared" si="0"/>
        <v>0</v>
      </c>
      <c r="J3">
        <f t="shared" si="1"/>
        <v>0</v>
      </c>
      <c r="L3" s="15" t="s">
        <v>162</v>
      </c>
      <c r="M3" s="1">
        <f>SUM(J:J)</f>
        <v>0</v>
      </c>
    </row>
    <row r="4" spans="2:13" ht="12.75">
      <c r="B4" s="6"/>
      <c r="F4">
        <f t="shared" si="0"/>
        <v>0</v>
      </c>
      <c r="J4">
        <f t="shared" si="1"/>
        <v>0</v>
      </c>
      <c r="L4" s="15" t="s">
        <v>186</v>
      </c>
      <c r="M4" s="1"/>
    </row>
    <row r="5" spans="2:13" ht="12.75">
      <c r="B5" s="6"/>
      <c r="F5">
        <f t="shared" si="0"/>
        <v>0</v>
      </c>
      <c r="J5">
        <f t="shared" si="1"/>
        <v>0</v>
      </c>
      <c r="L5" s="15" t="s">
        <v>187</v>
      </c>
      <c r="M5" s="1"/>
    </row>
    <row r="6" spans="2:13" ht="12.75">
      <c r="B6" s="6"/>
      <c r="F6">
        <f t="shared" si="0"/>
        <v>0</v>
      </c>
      <c r="J6">
        <f t="shared" si="1"/>
        <v>0</v>
      </c>
      <c r="L6" s="15"/>
      <c r="M6" s="1"/>
    </row>
    <row r="7" spans="2:13" ht="12.75">
      <c r="B7" s="6"/>
      <c r="F7">
        <f t="shared" si="0"/>
        <v>0</v>
      </c>
      <c r="J7">
        <f t="shared" si="1"/>
        <v>0</v>
      </c>
      <c r="M7" s="1"/>
    </row>
    <row r="8" spans="2:10" ht="12.75">
      <c r="B8" s="6"/>
      <c r="F8">
        <f t="shared" si="0"/>
        <v>0</v>
      </c>
      <c r="J8">
        <f t="shared" si="1"/>
        <v>0</v>
      </c>
    </row>
    <row r="9" spans="2:10" ht="12.75">
      <c r="B9" s="6"/>
      <c r="F9">
        <f t="shared" si="0"/>
        <v>0</v>
      </c>
      <c r="J9">
        <f t="shared" si="1"/>
        <v>0</v>
      </c>
    </row>
    <row r="10" spans="2:10" ht="12.75">
      <c r="B10" s="6"/>
      <c r="F10">
        <f t="shared" si="0"/>
        <v>0</v>
      </c>
      <c r="J10">
        <f t="shared" si="1"/>
        <v>0</v>
      </c>
    </row>
    <row r="11" spans="2:10" ht="12.75">
      <c r="B11" s="6"/>
      <c r="F11">
        <f t="shared" si="0"/>
        <v>0</v>
      </c>
      <c r="J11">
        <f t="shared" si="1"/>
        <v>0</v>
      </c>
    </row>
    <row r="12" spans="2:10" ht="12.75">
      <c r="B12" s="6"/>
      <c r="F12">
        <f t="shared" si="0"/>
        <v>0</v>
      </c>
      <c r="J12">
        <f t="shared" si="1"/>
        <v>0</v>
      </c>
    </row>
    <row r="13" spans="2:10" ht="12.75">
      <c r="B13" s="6"/>
      <c r="F13">
        <f t="shared" si="0"/>
        <v>0</v>
      </c>
      <c r="J13">
        <f t="shared" si="1"/>
        <v>0</v>
      </c>
    </row>
    <row r="14" spans="2:10" ht="12.75">
      <c r="B14" s="6"/>
      <c r="F14">
        <f t="shared" si="0"/>
        <v>0</v>
      </c>
      <c r="J14">
        <f t="shared" si="1"/>
        <v>0</v>
      </c>
    </row>
    <row r="15" spans="2:10" ht="12.75">
      <c r="B15" s="6"/>
      <c r="F15">
        <f t="shared" si="0"/>
        <v>0</v>
      </c>
      <c r="J15">
        <f t="shared" si="1"/>
        <v>0</v>
      </c>
    </row>
    <row r="16" spans="2:10" ht="12.75">
      <c r="B16" s="6"/>
      <c r="F16">
        <f t="shared" si="0"/>
        <v>0</v>
      </c>
      <c r="J16">
        <f t="shared" si="1"/>
        <v>0</v>
      </c>
    </row>
    <row r="17" spans="2:10" ht="12.75">
      <c r="B17" s="6"/>
      <c r="F17">
        <f t="shared" si="0"/>
        <v>0</v>
      </c>
      <c r="J17">
        <f t="shared" si="1"/>
        <v>0</v>
      </c>
    </row>
    <row r="18" spans="2:10" ht="12.75">
      <c r="B18" s="6"/>
      <c r="F18">
        <f t="shared" si="0"/>
        <v>0</v>
      </c>
      <c r="J18">
        <f t="shared" si="1"/>
        <v>0</v>
      </c>
    </row>
    <row r="19" spans="2:10" ht="12.75">
      <c r="B19" s="6"/>
      <c r="F19">
        <f t="shared" si="0"/>
        <v>0</v>
      </c>
      <c r="J19">
        <f t="shared" si="1"/>
        <v>0</v>
      </c>
    </row>
    <row r="20" spans="2:10" ht="12.75">
      <c r="B20" s="6"/>
      <c r="F20">
        <f t="shared" si="0"/>
        <v>0</v>
      </c>
      <c r="J20">
        <f t="shared" si="1"/>
        <v>0</v>
      </c>
    </row>
    <row r="21" spans="2:10" ht="12.75">
      <c r="B21" s="6"/>
      <c r="F21">
        <f t="shared" si="0"/>
        <v>0</v>
      </c>
      <c r="J21">
        <f t="shared" si="1"/>
        <v>0</v>
      </c>
    </row>
    <row r="22" spans="2:10" ht="12.75">
      <c r="B22" s="6"/>
      <c r="F22">
        <f t="shared" si="0"/>
        <v>0</v>
      </c>
      <c r="J22">
        <f t="shared" si="1"/>
        <v>0</v>
      </c>
    </row>
    <row r="23" spans="2:10" ht="12.75">
      <c r="B23" s="6"/>
      <c r="F23">
        <f t="shared" si="0"/>
        <v>0</v>
      </c>
      <c r="J23">
        <f t="shared" si="1"/>
        <v>0</v>
      </c>
    </row>
    <row r="24" spans="2:10" ht="12.75">
      <c r="B24" s="6"/>
      <c r="F24">
        <f t="shared" si="0"/>
        <v>0</v>
      </c>
      <c r="J24">
        <f t="shared" si="1"/>
        <v>0</v>
      </c>
    </row>
    <row r="25" ht="12.75">
      <c r="B25" s="6"/>
    </row>
  </sheetData>
  <sheetProtection/>
  <printOptions/>
  <pageMargins left="0.75" right="0.75" top="1" bottom="1" header="0.5" footer="0.5"/>
  <pageSetup orientation="landscape" paperSize="9" r:id="rId2"/>
  <headerFooter alignWithMargins="0">
    <oddHeader>&amp;CЗвід по шляховим листам 
по легковому авто 
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8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50.50390625" style="15" customWidth="1"/>
    <col min="3" max="3" width="10.375" style="0" customWidth="1"/>
    <col min="5" max="5" width="11.375" style="0" customWidth="1"/>
    <col min="6" max="6" width="11.50390625" style="0" customWidth="1"/>
    <col min="8" max="8" width="8.50390625" style="0" customWidth="1"/>
  </cols>
  <sheetData>
    <row r="1" spans="1:7" ht="68.25" customHeight="1">
      <c r="A1" s="15" t="s">
        <v>170</v>
      </c>
      <c r="B1" s="15" t="s">
        <v>165</v>
      </c>
      <c r="C1" s="15" t="s">
        <v>166</v>
      </c>
      <c r="D1" s="15" t="s">
        <v>167</v>
      </c>
      <c r="E1" s="15" t="s">
        <v>168</v>
      </c>
      <c r="F1" s="42" t="s">
        <v>169</v>
      </c>
      <c r="G1" s="15" t="s">
        <v>171</v>
      </c>
    </row>
    <row r="2" spans="1:9" ht="26.25">
      <c r="A2" s="6" t="s">
        <v>299</v>
      </c>
      <c r="B2" s="15" t="s">
        <v>300</v>
      </c>
      <c r="C2" s="1">
        <v>5000</v>
      </c>
      <c r="D2" s="1">
        <v>83</v>
      </c>
      <c r="E2" s="1">
        <v>332</v>
      </c>
      <c r="F2" s="1">
        <f>SUM(D2+E2)</f>
        <v>415</v>
      </c>
      <c r="G2">
        <v>23</v>
      </c>
      <c r="H2" s="15" t="s">
        <v>172</v>
      </c>
      <c r="I2" s="1">
        <f>SUM(D:D)</f>
        <v>83</v>
      </c>
    </row>
    <row r="3" spans="1:9" ht="12.75">
      <c r="A3" s="6"/>
      <c r="G3">
        <v>92</v>
      </c>
      <c r="H3">
        <v>23</v>
      </c>
      <c r="I3" s="1">
        <f>SUMIF(G:G,H3,D:D)</f>
        <v>83</v>
      </c>
    </row>
    <row r="4" spans="7:9" ht="12.75">
      <c r="G4">
        <v>92</v>
      </c>
      <c r="H4">
        <v>92</v>
      </c>
      <c r="I4" s="1">
        <f>SUMIF(G:G,H4,D:D)</f>
        <v>0</v>
      </c>
    </row>
    <row r="5" spans="2:9" ht="26.25">
      <c r="B5" s="19"/>
      <c r="G5">
        <v>92</v>
      </c>
      <c r="H5" s="15" t="s">
        <v>174</v>
      </c>
      <c r="I5" s="1">
        <f>SUM(I3:I4)</f>
        <v>83</v>
      </c>
    </row>
    <row r="6" spans="7:9" ht="26.25">
      <c r="G6">
        <v>92</v>
      </c>
      <c r="H6" s="15" t="s">
        <v>173</v>
      </c>
      <c r="I6" s="1">
        <f>SUM(C:C)</f>
        <v>5000</v>
      </c>
    </row>
    <row r="7" spans="8:9" ht="52.5">
      <c r="H7" s="15" t="s">
        <v>176</v>
      </c>
      <c r="I7">
        <f>SUM(E:E)</f>
        <v>332</v>
      </c>
    </row>
    <row r="8" spans="8:9" ht="52.5">
      <c r="H8" s="15" t="s">
        <v>177</v>
      </c>
      <c r="I8">
        <f>SUM(F:F)</f>
        <v>415</v>
      </c>
    </row>
  </sheetData>
  <sheetProtection/>
  <printOptions/>
  <pageMargins left="0.75" right="0.75" top="1" bottom="1" header="0.5" footer="0.5"/>
  <pageSetup orientation="landscape" paperSize="9" r:id="rId2"/>
  <headerFooter alignWithMargins="0">
    <oddHeader>&amp;CЗнос по основних засобах 
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9.125" style="6" customWidth="1"/>
    <col min="2" max="2" width="17.375" style="0" customWidth="1"/>
    <col min="3" max="3" width="10.50390625" style="0" customWidth="1"/>
    <col min="4" max="4" width="8.625" style="0" customWidth="1"/>
    <col min="5" max="6" width="11.125" style="0" customWidth="1"/>
  </cols>
  <sheetData>
    <row r="1" spans="1:7" ht="70.5" customHeight="1">
      <c r="A1" s="13" t="s">
        <v>170</v>
      </c>
      <c r="B1" s="15" t="s">
        <v>165</v>
      </c>
      <c r="C1" s="15" t="s">
        <v>166</v>
      </c>
      <c r="D1" s="15" t="s">
        <v>167</v>
      </c>
      <c r="E1" s="15" t="s">
        <v>168</v>
      </c>
      <c r="F1" s="42" t="s">
        <v>169</v>
      </c>
      <c r="G1" s="15" t="s">
        <v>171</v>
      </c>
    </row>
    <row r="2" spans="2:9" ht="39">
      <c r="B2" s="15"/>
      <c r="C2" s="1"/>
      <c r="F2" s="1">
        <f>SUM(D2+E2)</f>
        <v>0</v>
      </c>
      <c r="G2">
        <v>92</v>
      </c>
      <c r="H2" s="15" t="s">
        <v>175</v>
      </c>
      <c r="I2" s="1">
        <f>SUM(D:D)</f>
        <v>0</v>
      </c>
    </row>
    <row r="3" spans="4:9" ht="12.75">
      <c r="D3" s="1"/>
      <c r="H3">
        <v>23</v>
      </c>
      <c r="I3" s="1">
        <f>SUMIF(G:G,H3,D:D)</f>
        <v>0</v>
      </c>
    </row>
    <row r="4" spans="8:9" ht="12.75">
      <c r="H4">
        <v>92</v>
      </c>
      <c r="I4" s="1">
        <f>SUMIF(G:G,H4,D:D)</f>
        <v>0</v>
      </c>
    </row>
    <row r="5" spans="8:9" ht="26.25">
      <c r="H5" s="15" t="s">
        <v>174</v>
      </c>
      <c r="I5" s="1">
        <f>SUM(I3:I4)</f>
        <v>0</v>
      </c>
    </row>
    <row r="6" spans="8:9" ht="26.25">
      <c r="H6" s="15" t="s">
        <v>173</v>
      </c>
      <c r="I6" s="1">
        <f>SUM(C:C)</f>
        <v>0</v>
      </c>
    </row>
  </sheetData>
  <sheetProtection/>
  <printOptions/>
  <pageMargins left="0.75" right="0.75" top="1" bottom="1" header="0.5" footer="0.5"/>
  <pageSetup orientation="landscape" paperSize="9" r:id="rId2"/>
  <headerFooter alignWithMargins="0">
    <oddHeader>&amp;CЗнос по необоротних матер.
активах за &amp;Fр.&amp;RТОВ"Автопневмотех"
Код за ЄДРПОУ 25163861</oddHeader>
    <oddFooter>&amp;RСтор.&amp;P
Всього &amp;Nстор.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1"/>
  <dimension ref="A1:AP41"/>
  <sheetViews>
    <sheetView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26" sqref="AF26"/>
    </sheetView>
  </sheetViews>
  <sheetFormatPr defaultColWidth="9.00390625" defaultRowHeight="12.75"/>
  <cols>
    <col min="1" max="1" width="10.50390625" style="0" customWidth="1"/>
    <col min="2" max="3" width="9.125" style="1" customWidth="1"/>
    <col min="4" max="4" width="9.50390625" style="1" bestFit="1" customWidth="1"/>
    <col min="5" max="7" width="9.50390625" style="1" customWidth="1"/>
    <col min="8" max="8" width="9.50390625" style="1" bestFit="1" customWidth="1"/>
    <col min="9" max="14" width="9.125" style="1" customWidth="1"/>
    <col min="15" max="15" width="9.50390625" style="1" bestFit="1" customWidth="1"/>
    <col min="16" max="16" width="9.50390625" style="1" customWidth="1"/>
    <col min="17" max="17" width="9.50390625" style="1" bestFit="1" customWidth="1"/>
    <col min="18" max="41" width="9.125" style="1" customWidth="1"/>
    <col min="42" max="42" width="9.50390625" style="0" bestFit="1" customWidth="1"/>
  </cols>
  <sheetData>
    <row r="1" spans="2:42" ht="25.5" customHeight="1">
      <c r="B1" s="14">
        <v>23</v>
      </c>
      <c r="C1" s="14">
        <v>231</v>
      </c>
      <c r="D1" s="14">
        <v>92</v>
      </c>
      <c r="E1" s="14">
        <v>949</v>
      </c>
      <c r="F1" s="14">
        <v>10</v>
      </c>
      <c r="G1" s="14">
        <v>112</v>
      </c>
      <c r="H1" s="14">
        <v>131</v>
      </c>
      <c r="I1" s="14">
        <v>132</v>
      </c>
      <c r="J1" s="14">
        <v>203</v>
      </c>
      <c r="K1" s="14">
        <v>207</v>
      </c>
      <c r="L1" s="14">
        <v>209</v>
      </c>
      <c r="M1" s="14">
        <v>281</v>
      </c>
      <c r="N1" s="14">
        <v>301</v>
      </c>
      <c r="O1" s="14">
        <v>311</v>
      </c>
      <c r="P1" s="14">
        <v>313</v>
      </c>
      <c r="Q1" s="14">
        <v>361</v>
      </c>
      <c r="R1" s="14">
        <v>372</v>
      </c>
      <c r="S1" s="14">
        <v>373</v>
      </c>
      <c r="T1" s="14">
        <v>43</v>
      </c>
      <c r="U1" s="14">
        <v>441</v>
      </c>
      <c r="V1" s="14">
        <v>672</v>
      </c>
      <c r="W1" s="14">
        <v>631</v>
      </c>
      <c r="X1" s="14">
        <v>643</v>
      </c>
      <c r="Y1" s="14">
        <v>651</v>
      </c>
      <c r="Z1" s="14">
        <v>652</v>
      </c>
      <c r="AA1" s="14">
        <v>6522</v>
      </c>
      <c r="AB1" s="14">
        <v>653</v>
      </c>
      <c r="AC1" s="14">
        <v>661</v>
      </c>
      <c r="AD1" s="14">
        <v>702</v>
      </c>
      <c r="AE1" s="14">
        <v>719</v>
      </c>
      <c r="AF1" s="14">
        <v>732</v>
      </c>
      <c r="AG1" s="14">
        <v>791</v>
      </c>
      <c r="AH1" s="14">
        <v>792</v>
      </c>
      <c r="AI1" s="14">
        <v>6421</v>
      </c>
      <c r="AJ1" s="14">
        <v>6411</v>
      </c>
      <c r="AK1" s="14">
        <v>6412</v>
      </c>
      <c r="AL1" s="14">
        <v>6413</v>
      </c>
      <c r="AM1" s="14">
        <v>6414</v>
      </c>
      <c r="AN1" s="14">
        <v>644</v>
      </c>
      <c r="AO1" s="14">
        <v>6415</v>
      </c>
      <c r="AP1" t="s">
        <v>16</v>
      </c>
    </row>
    <row r="2" spans="1:42" ht="12.75">
      <c r="A2">
        <v>672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>
        <v>38987.38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57"/>
      <c r="AO2" s="65"/>
      <c r="AP2" s="1">
        <f>SUM(B2:AO2)</f>
        <v>38987.38</v>
      </c>
    </row>
    <row r="3" spans="1:42" ht="12.75">
      <c r="A3">
        <v>40</v>
      </c>
      <c r="B3" s="65"/>
      <c r="C3" s="65"/>
      <c r="D3" s="65"/>
      <c r="E3" s="65"/>
      <c r="F3" s="65"/>
      <c r="G3" s="65"/>
      <c r="H3" s="65"/>
      <c r="I3" s="65"/>
      <c r="J3" s="57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>
        <v>32489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57"/>
      <c r="AO3" s="65"/>
      <c r="AP3" s="1">
        <f>SUM(B3:AO3)</f>
        <v>32489</v>
      </c>
    </row>
    <row r="4" spans="1:42" ht="12.75">
      <c r="A4">
        <v>92</v>
      </c>
      <c r="B4" s="65"/>
      <c r="C4" s="65"/>
      <c r="D4" s="65"/>
      <c r="E4" s="65"/>
      <c r="F4" s="65"/>
      <c r="G4" s="65"/>
      <c r="H4" s="57"/>
      <c r="I4" s="65"/>
      <c r="J4" s="65"/>
      <c r="K4" s="65"/>
      <c r="L4" s="65"/>
      <c r="M4" s="65"/>
      <c r="N4" s="65"/>
      <c r="O4" s="65">
        <v>164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57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57"/>
      <c r="AO4" s="65"/>
      <c r="AP4" s="1">
        <f aca="true" t="shared" si="0" ref="AP4:AP39">SUM(B4:AO4)</f>
        <v>164</v>
      </c>
    </row>
    <row r="5" spans="1:42" ht="12.75">
      <c r="A5">
        <v>949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1">
        <f t="shared" si="0"/>
        <v>0</v>
      </c>
    </row>
    <row r="6" spans="1:42" ht="12.75">
      <c r="A6">
        <v>131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1">
        <f t="shared" si="0"/>
        <v>0</v>
      </c>
    </row>
    <row r="7" spans="1:42" ht="12.75">
      <c r="A7">
        <v>132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1">
        <f t="shared" si="0"/>
        <v>0</v>
      </c>
    </row>
    <row r="8" spans="1:42" ht="12.75">
      <c r="A8">
        <v>112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1">
        <f t="shared" si="0"/>
        <v>0</v>
      </c>
    </row>
    <row r="9" spans="1:42" ht="12.75">
      <c r="A9">
        <v>10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1">
        <f t="shared" si="0"/>
        <v>0</v>
      </c>
    </row>
    <row r="10" spans="1:42" ht="12.75">
      <c r="A10">
        <v>203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1">
        <f t="shared" si="0"/>
        <v>0</v>
      </c>
    </row>
    <row r="11" spans="1:42" ht="12.75">
      <c r="A11">
        <v>207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1">
        <f t="shared" si="0"/>
        <v>0</v>
      </c>
    </row>
    <row r="12" spans="1:42" ht="12.75">
      <c r="A12">
        <v>209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">
        <f t="shared" si="0"/>
        <v>0</v>
      </c>
    </row>
    <row r="13" spans="1:42" ht="12.75">
      <c r="A13">
        <v>281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1">
        <f t="shared" si="0"/>
        <v>0</v>
      </c>
    </row>
    <row r="14" spans="1:42" ht="12.75">
      <c r="A14">
        <v>301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1">
        <f t="shared" si="0"/>
        <v>0</v>
      </c>
    </row>
    <row r="15" spans="1:42" ht="12.75">
      <c r="A15">
        <v>311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>
        <v>244.44</v>
      </c>
      <c r="AK15" s="65"/>
      <c r="AL15" s="65"/>
      <c r="AM15" s="65"/>
      <c r="AN15" s="65"/>
      <c r="AO15" s="65"/>
      <c r="AP15" s="1">
        <f t="shared" si="0"/>
        <v>244.44</v>
      </c>
    </row>
    <row r="16" spans="1:42" ht="12.75">
      <c r="A16">
        <v>313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1">
        <f t="shared" si="0"/>
        <v>0</v>
      </c>
    </row>
    <row r="17" spans="1:42" ht="12.75">
      <c r="A17">
        <v>361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1">
        <f t="shared" si="0"/>
        <v>0</v>
      </c>
    </row>
    <row r="18" spans="1:42" ht="12.75">
      <c r="A18">
        <v>372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1">
        <f t="shared" si="0"/>
        <v>0</v>
      </c>
    </row>
    <row r="19" spans="1:42" ht="12.75">
      <c r="A19">
        <v>43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>
        <v>8122.25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57"/>
      <c r="AI19" s="65"/>
      <c r="AJ19" s="65"/>
      <c r="AK19" s="65"/>
      <c r="AL19" s="65"/>
      <c r="AM19" s="65"/>
      <c r="AN19" s="65"/>
      <c r="AO19" s="65"/>
      <c r="AP19" s="1">
        <f t="shared" si="0"/>
        <v>8122.25</v>
      </c>
    </row>
    <row r="20" spans="1:42" ht="12.75">
      <c r="A20">
        <v>441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>
        <v>3142.17</v>
      </c>
      <c r="W20" s="65"/>
      <c r="X20" s="65"/>
      <c r="Y20" s="65"/>
      <c r="Z20" s="65"/>
      <c r="AA20" s="65"/>
      <c r="AB20" s="65"/>
      <c r="AC20" s="65"/>
      <c r="AD20" s="65"/>
      <c r="AE20" s="65"/>
      <c r="AF20" s="57"/>
      <c r="AG20" s="57">
        <v>164</v>
      </c>
      <c r="AH20" s="65"/>
      <c r="AI20" s="65"/>
      <c r="AJ20" s="65">
        <v>0.41</v>
      </c>
      <c r="AK20" s="57"/>
      <c r="AL20" s="65"/>
      <c r="AM20" s="65"/>
      <c r="AN20" s="65"/>
      <c r="AO20" s="65"/>
      <c r="AP20" s="1">
        <f t="shared" si="0"/>
        <v>3306.58</v>
      </c>
    </row>
    <row r="21" spans="1:42" ht="12.75">
      <c r="A21">
        <v>631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1">
        <f t="shared" si="0"/>
        <v>0</v>
      </c>
    </row>
    <row r="22" spans="1:42" ht="12.75">
      <c r="A22">
        <v>643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1">
        <f t="shared" si="0"/>
        <v>0</v>
      </c>
    </row>
    <row r="23" spans="1:42" ht="12.75">
      <c r="A23">
        <v>644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1">
        <f t="shared" si="0"/>
        <v>0</v>
      </c>
    </row>
    <row r="24" spans="1:42" ht="12.75">
      <c r="A24">
        <v>651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1">
        <f t="shared" si="0"/>
        <v>0</v>
      </c>
    </row>
    <row r="25" spans="1:42" ht="12.75">
      <c r="A25">
        <v>652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1">
        <f t="shared" si="0"/>
        <v>0</v>
      </c>
    </row>
    <row r="26" spans="1:42" ht="12.75">
      <c r="A26">
        <v>6522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57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1">
        <f t="shared" si="0"/>
        <v>0</v>
      </c>
    </row>
    <row r="27" spans="1:42" ht="12.75">
      <c r="A27">
        <v>653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1">
        <f t="shared" si="0"/>
        <v>0</v>
      </c>
    </row>
    <row r="28" spans="1:42" ht="12.75">
      <c r="A28">
        <v>661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1">
        <f t="shared" si="0"/>
        <v>0</v>
      </c>
    </row>
    <row r="29" spans="1:42" ht="12.75">
      <c r="A29">
        <v>702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1">
        <f t="shared" si="0"/>
        <v>0</v>
      </c>
    </row>
    <row r="30" spans="1:42" ht="12.75">
      <c r="A30">
        <v>719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57"/>
      <c r="AI30" s="65"/>
      <c r="AJ30" s="65"/>
      <c r="AK30" s="65"/>
      <c r="AL30" s="65"/>
      <c r="AM30" s="65"/>
      <c r="AN30" s="65"/>
      <c r="AO30" s="65"/>
      <c r="AP30" s="1">
        <f t="shared" si="0"/>
        <v>0</v>
      </c>
    </row>
    <row r="31" spans="1:42" ht="12.75">
      <c r="A31">
        <v>732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1">
        <f t="shared" si="0"/>
        <v>0</v>
      </c>
    </row>
    <row r="32" spans="1:42" ht="12.75">
      <c r="A32">
        <v>791</v>
      </c>
      <c r="B32" s="65"/>
      <c r="C32" s="65"/>
      <c r="D32" s="65">
        <v>164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1">
        <f t="shared" si="0"/>
        <v>164</v>
      </c>
    </row>
    <row r="33" spans="1:42" ht="12.75">
      <c r="A33">
        <v>792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1">
        <f t="shared" si="0"/>
        <v>0</v>
      </c>
    </row>
    <row r="34" spans="1:42" ht="12.75">
      <c r="A34">
        <v>6421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1">
        <f t="shared" si="0"/>
        <v>0</v>
      </c>
    </row>
    <row r="35" spans="1:42" ht="12.75">
      <c r="A35">
        <v>6411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1">
        <f t="shared" si="0"/>
        <v>0</v>
      </c>
    </row>
    <row r="36" spans="1:42" ht="12.75">
      <c r="A36">
        <v>6412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1">
        <f t="shared" si="0"/>
        <v>0</v>
      </c>
    </row>
    <row r="37" spans="1:42" ht="12.75">
      <c r="A37">
        <v>6413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1">
        <f t="shared" si="0"/>
        <v>0</v>
      </c>
    </row>
    <row r="38" spans="1:42" ht="12.75">
      <c r="A38">
        <v>6414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1">
        <f t="shared" si="0"/>
        <v>0</v>
      </c>
    </row>
    <row r="39" spans="1:42" ht="12.75">
      <c r="A39">
        <v>6415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1">
        <f t="shared" si="0"/>
        <v>0</v>
      </c>
    </row>
    <row r="40" spans="1:42" ht="12.75">
      <c r="A40" t="s">
        <v>16</v>
      </c>
      <c r="B40" s="1">
        <f aca="true" t="shared" si="1" ref="B40:AP40">SUM(B2:B39)</f>
        <v>0</v>
      </c>
      <c r="C40" s="1">
        <f t="shared" si="1"/>
        <v>0</v>
      </c>
      <c r="D40" s="1">
        <f t="shared" si="1"/>
        <v>164</v>
      </c>
      <c r="E40" s="1">
        <f t="shared" si="1"/>
        <v>0</v>
      </c>
      <c r="F40" s="1">
        <f t="shared" si="1"/>
        <v>0</v>
      </c>
      <c r="G40" s="1">
        <f t="shared" si="1"/>
        <v>0</v>
      </c>
      <c r="H40" s="1">
        <f t="shared" si="1"/>
        <v>0</v>
      </c>
      <c r="I40" s="1">
        <f t="shared" si="1"/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39151.38</v>
      </c>
      <c r="P40" s="1">
        <f t="shared" si="1"/>
        <v>0</v>
      </c>
      <c r="Q40" s="1">
        <f t="shared" si="1"/>
        <v>0</v>
      </c>
      <c r="R40" s="1">
        <f t="shared" si="1"/>
        <v>0</v>
      </c>
      <c r="S40" s="1">
        <f t="shared" si="1"/>
        <v>0</v>
      </c>
      <c r="T40" s="1">
        <f t="shared" si="1"/>
        <v>0</v>
      </c>
      <c r="U40" s="1">
        <f t="shared" si="1"/>
        <v>0</v>
      </c>
      <c r="V40" s="1">
        <f t="shared" si="1"/>
        <v>43753.42</v>
      </c>
      <c r="W40" s="1">
        <f t="shared" si="1"/>
        <v>0</v>
      </c>
      <c r="X40" s="1">
        <f t="shared" si="1"/>
        <v>0</v>
      </c>
      <c r="Y40" s="1">
        <f t="shared" si="1"/>
        <v>0</v>
      </c>
      <c r="Z40" s="1">
        <f t="shared" si="1"/>
        <v>0</v>
      </c>
      <c r="AA40" s="1">
        <f t="shared" si="1"/>
        <v>0</v>
      </c>
      <c r="AB40" s="1">
        <f t="shared" si="1"/>
        <v>0</v>
      </c>
      <c r="AC40" s="1">
        <f t="shared" si="1"/>
        <v>0</v>
      </c>
      <c r="AD40" s="1">
        <f t="shared" si="1"/>
        <v>0</v>
      </c>
      <c r="AE40" s="1">
        <f t="shared" si="1"/>
        <v>0</v>
      </c>
      <c r="AF40" s="1">
        <f t="shared" si="1"/>
        <v>0</v>
      </c>
      <c r="AG40" s="1">
        <f aca="true" t="shared" si="2" ref="AG40:AO40">SUM(AG2:AG39)</f>
        <v>164</v>
      </c>
      <c r="AH40" s="1">
        <f t="shared" si="2"/>
        <v>0</v>
      </c>
      <c r="AI40" s="1">
        <f t="shared" si="2"/>
        <v>0</v>
      </c>
      <c r="AJ40" s="1">
        <f t="shared" si="2"/>
        <v>244.85</v>
      </c>
      <c r="AK40" s="1">
        <f t="shared" si="2"/>
        <v>0</v>
      </c>
      <c r="AL40" s="1">
        <f t="shared" si="2"/>
        <v>0</v>
      </c>
      <c r="AM40" s="1">
        <f>SUM(AM2:AM39)</f>
        <v>0</v>
      </c>
      <c r="AN40" s="1">
        <f t="shared" si="2"/>
        <v>0</v>
      </c>
      <c r="AO40" s="1">
        <f t="shared" si="2"/>
        <v>0</v>
      </c>
      <c r="AP40" s="1">
        <f t="shared" si="1"/>
        <v>83477.65</v>
      </c>
    </row>
    <row r="41" ht="12.75">
      <c r="AP41" s="1">
        <f>SUM(B40:AO40)</f>
        <v>83477.65</v>
      </c>
    </row>
  </sheetData>
  <sheetProtection/>
  <printOptions/>
  <pageMargins left="0.33" right="0.28" top="0.58" bottom="0.36" header="0.33" footer="0.17"/>
  <pageSetup orientation="landscape" paperSize="9" r:id="rId2"/>
  <headerFooter alignWithMargins="0">
    <oddHeader>&amp;CШахова відомість за &amp;Fр.&amp;RТОВ"Автопневмотех" Код за ЄДРПОУ 25163861</oddHeader>
    <oddFooter>&amp;RСтор.&amp;P Всього &amp;Nстор.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1:J4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8" sqref="H18"/>
    </sheetView>
  </sheetViews>
  <sheetFormatPr defaultColWidth="9.00390625" defaultRowHeight="12.75"/>
  <cols>
    <col min="1" max="1" width="39.00390625" style="15" customWidth="1"/>
    <col min="2" max="2" width="5.00390625" style="6" bestFit="1" customWidth="1"/>
    <col min="3" max="3" width="11.125" style="1" customWidth="1"/>
    <col min="4" max="4" width="12.125" style="1" customWidth="1"/>
    <col min="5" max="5" width="13.125" style="1" customWidth="1"/>
    <col min="6" max="6" width="15.00390625" style="1" customWidth="1"/>
    <col min="7" max="7" width="11.625" style="1" customWidth="1"/>
    <col min="8" max="8" width="12.50390625" style="1" customWidth="1"/>
    <col min="9" max="9" width="9.375" style="1" bestFit="1" customWidth="1"/>
    <col min="10" max="10" width="9.50390625" style="1" bestFit="1" customWidth="1"/>
  </cols>
  <sheetData>
    <row r="1" spans="1:8" ht="39" customHeight="1">
      <c r="A1" s="15" t="s">
        <v>41</v>
      </c>
      <c r="B1" s="6" t="s">
        <v>42</v>
      </c>
      <c r="C1" s="16" t="s">
        <v>43</v>
      </c>
      <c r="D1" s="16" t="s">
        <v>44</v>
      </c>
      <c r="E1" s="16" t="s">
        <v>45</v>
      </c>
      <c r="F1" s="16" t="s">
        <v>46</v>
      </c>
      <c r="G1" s="16" t="s">
        <v>43</v>
      </c>
      <c r="H1" s="16" t="s">
        <v>44</v>
      </c>
    </row>
    <row r="2" spans="1:10" ht="12.75">
      <c r="A2" s="15" t="s">
        <v>47</v>
      </c>
      <c r="B2" s="6">
        <v>10</v>
      </c>
      <c r="C2" s="64">
        <v>0</v>
      </c>
      <c r="D2" s="64"/>
      <c r="E2" s="1">
        <f>SUMIF('ШаховВідом '!PRINT_TITLES,B:B,'ШаховВідом '!AP:AP)</f>
        <v>0</v>
      </c>
      <c r="F2" s="1">
        <f>SUMIF('ШаховВідом '!1:1,B2,'ШаховВідом '!40:40)</f>
        <v>0</v>
      </c>
      <c r="G2" s="57">
        <f>SUM(C2+E2-F2)</f>
        <v>0</v>
      </c>
      <c r="H2" s="57"/>
      <c r="I2" s="3"/>
      <c r="J2" s="3"/>
    </row>
    <row r="3" spans="1:10" ht="12.75">
      <c r="A3" s="15" t="s">
        <v>48</v>
      </c>
      <c r="B3" s="6">
        <v>112</v>
      </c>
      <c r="C3" s="64">
        <v>0</v>
      </c>
      <c r="D3" s="64"/>
      <c r="E3" s="1">
        <f>SUMIF('ШаховВідом '!PRINT_TITLES,B:B,'ШаховВідом '!AP:AP)</f>
        <v>0</v>
      </c>
      <c r="F3" s="1">
        <f>SUMIF('ШаховВідом '!1:1,B3,'ШаховВідом '!40:40)</f>
        <v>0</v>
      </c>
      <c r="G3" s="57">
        <f>SUM(C3+E3-F3)</f>
        <v>0</v>
      </c>
      <c r="H3" s="57"/>
      <c r="I3" s="3"/>
      <c r="J3" s="3"/>
    </row>
    <row r="4" spans="1:10" ht="12.75">
      <c r="A4" s="15" t="s">
        <v>49</v>
      </c>
      <c r="B4" s="6">
        <v>131</v>
      </c>
      <c r="C4" s="64"/>
      <c r="D4" s="64">
        <v>0</v>
      </c>
      <c r="E4" s="1">
        <f>SUMIF('ШаховВідом '!PRINT_TITLES,B:B,'ШаховВідом '!AP:AP)</f>
        <v>0</v>
      </c>
      <c r="F4" s="1">
        <f>SUMIF('ШаховВідом '!1:1,B4,'ШаховВідом '!40:40)</f>
        <v>0</v>
      </c>
      <c r="G4" s="57"/>
      <c r="H4" s="57">
        <f>SUM(D4+F4-E4)</f>
        <v>0</v>
      </c>
      <c r="I4" s="3"/>
      <c r="J4" s="3"/>
    </row>
    <row r="5" spans="1:10" ht="26.25">
      <c r="A5" s="15" t="s">
        <v>50</v>
      </c>
      <c r="B5" s="6" t="s">
        <v>82</v>
      </c>
      <c r="C5" s="64"/>
      <c r="D5" s="64">
        <v>0</v>
      </c>
      <c r="E5" s="1">
        <f>SUMIF('ШаховВідом '!PRINT_TITLES,B:B,'ШаховВідом '!AP:AP)</f>
        <v>0</v>
      </c>
      <c r="F5" s="1">
        <f>SUMIF('ШаховВідом '!1:1,B5,'ШаховВідом '!40:40)</f>
        <v>0</v>
      </c>
      <c r="G5" s="57"/>
      <c r="H5" s="57">
        <f>SUM(D5+F5-E5)</f>
        <v>0</v>
      </c>
      <c r="I5" s="3"/>
      <c r="J5" s="3"/>
    </row>
    <row r="6" spans="1:10" ht="12.75">
      <c r="A6" s="15" t="s">
        <v>74</v>
      </c>
      <c r="B6" s="6" t="s">
        <v>75</v>
      </c>
      <c r="C6" s="64">
        <v>0</v>
      </c>
      <c r="D6" s="64"/>
      <c r="E6" s="1">
        <f>SUMIF('ШаховВідом '!PRINT_TITLES,B:B,'ШаховВідом '!AP:AP)</f>
        <v>0</v>
      </c>
      <c r="F6" s="1">
        <f>SUMIF('ШаховВідом '!1:1,B6,'ШаховВідом '!40:40)</f>
        <v>0</v>
      </c>
      <c r="G6" s="57">
        <f aca="true" t="shared" si="0" ref="G6:G15">SUM(C6+E6-F6)</f>
        <v>0</v>
      </c>
      <c r="H6" s="57"/>
      <c r="I6" s="3"/>
      <c r="J6" s="3"/>
    </row>
    <row r="7" spans="1:10" ht="12.75">
      <c r="A7" s="15" t="s">
        <v>83</v>
      </c>
      <c r="B7" s="6" t="s">
        <v>84</v>
      </c>
      <c r="C7" s="64">
        <v>0</v>
      </c>
      <c r="D7" s="64"/>
      <c r="E7" s="1">
        <f>SUMIF('ШаховВідом '!PRINT_TITLES,B:B,'ШаховВідом '!AP:AP)</f>
        <v>0</v>
      </c>
      <c r="F7" s="1">
        <f>SUMIF('ШаховВідом '!1:1,B7,'ШаховВідом '!40:40)</f>
        <v>0</v>
      </c>
      <c r="G7" s="57">
        <f t="shared" si="0"/>
        <v>0</v>
      </c>
      <c r="H7" s="57"/>
      <c r="I7" s="3"/>
      <c r="J7" s="3"/>
    </row>
    <row r="8" spans="1:10" ht="12.75">
      <c r="A8" s="15" t="s">
        <v>51</v>
      </c>
      <c r="B8" s="6" t="s">
        <v>52</v>
      </c>
      <c r="C8" s="64">
        <v>0</v>
      </c>
      <c r="D8" s="64"/>
      <c r="E8" s="1">
        <f>SUMIF('ШаховВідом '!PRINT_TITLES,B:B,'ШаховВідом '!AP:AP)</f>
        <v>0</v>
      </c>
      <c r="F8" s="1">
        <f>SUMIF('ШаховВідом '!1:1,B8,'ШаховВідом '!40:40)</f>
        <v>0</v>
      </c>
      <c r="G8" s="57">
        <f t="shared" si="0"/>
        <v>0</v>
      </c>
      <c r="H8" s="57"/>
      <c r="I8" s="3"/>
      <c r="J8" s="3"/>
    </row>
    <row r="9" spans="1:10" ht="12.75">
      <c r="A9" s="15" t="s">
        <v>85</v>
      </c>
      <c r="B9" s="6" t="s">
        <v>53</v>
      </c>
      <c r="C9" s="64">
        <v>0</v>
      </c>
      <c r="D9" s="64"/>
      <c r="E9" s="1">
        <f>SUMIF('ШаховВідом '!PRINT_TITLES,B:B,'ШаховВідом '!AP:AP)</f>
        <v>0</v>
      </c>
      <c r="F9" s="1">
        <f>SUMIF('ШаховВідом '!1:1,B9,'ШаховВідом '!40:40)</f>
        <v>0</v>
      </c>
      <c r="G9" s="57">
        <f t="shared" si="0"/>
        <v>0</v>
      </c>
      <c r="H9" s="57"/>
      <c r="I9" s="3"/>
      <c r="J9" s="3"/>
    </row>
    <row r="10" spans="1:10" ht="12.75">
      <c r="A10" s="15" t="s">
        <v>242</v>
      </c>
      <c r="B10" s="6" t="s">
        <v>243</v>
      </c>
      <c r="C10" s="64">
        <v>0</v>
      </c>
      <c r="D10" s="64"/>
      <c r="E10" s="1">
        <f>SUMIF('ШаховВідом '!PRINT_TITLES,B:B,'ШаховВідом '!AP:AP)</f>
        <v>0</v>
      </c>
      <c r="F10" s="1">
        <f>SUMIF('ШаховВідом '!1:1,B10,'ШаховВідом '!40:40)</f>
        <v>0</v>
      </c>
      <c r="G10" s="57">
        <f>SUM(C10+E10-F10)</f>
        <v>0</v>
      </c>
      <c r="H10" s="57"/>
      <c r="I10" s="3"/>
      <c r="J10" s="3"/>
    </row>
    <row r="11" spans="1:10" ht="12.75">
      <c r="A11" s="15" t="s">
        <v>88</v>
      </c>
      <c r="B11" s="6" t="s">
        <v>89</v>
      </c>
      <c r="C11" s="64">
        <v>0</v>
      </c>
      <c r="D11" s="64"/>
      <c r="E11" s="1">
        <f>SUMIF('ШаховВідом '!PRINT_TITLES,B:B,'ШаховВідом '!AP:AP)</f>
        <v>0</v>
      </c>
      <c r="F11" s="1">
        <f>SUMIF('ШаховВідом '!1:1,B11,'ШаховВідом '!40:40)</f>
        <v>0</v>
      </c>
      <c r="G11" s="57">
        <f t="shared" si="0"/>
        <v>0</v>
      </c>
      <c r="H11" s="57"/>
      <c r="I11" s="3"/>
      <c r="J11" s="3"/>
    </row>
    <row r="12" spans="1:10" ht="12.75">
      <c r="A12" s="15" t="s">
        <v>54</v>
      </c>
      <c r="B12" s="6" t="s">
        <v>55</v>
      </c>
      <c r="C12" s="64">
        <v>0</v>
      </c>
      <c r="D12" s="64"/>
      <c r="E12" s="1">
        <f>SUMIF('ШаховВідом '!PRINT_TITLES,B:B,'ШаховВідом '!AP:AP)</f>
        <v>0</v>
      </c>
      <c r="F12" s="1">
        <f>SUMIF('ШаховВідом '!1:1,B12,'ШаховВідом '!40:40)</f>
        <v>0</v>
      </c>
      <c r="G12" s="57">
        <f t="shared" si="0"/>
        <v>0</v>
      </c>
      <c r="H12" s="57"/>
      <c r="I12" s="3"/>
      <c r="J12" s="3"/>
    </row>
    <row r="13" spans="1:10" ht="12.75">
      <c r="A13" s="15" t="s">
        <v>56</v>
      </c>
      <c r="B13" s="6" t="s">
        <v>57</v>
      </c>
      <c r="C13" s="64">
        <v>38906.94</v>
      </c>
      <c r="D13" s="64"/>
      <c r="E13" s="1">
        <f>SUMIF('ШаховВідом '!PRINT_TITLES,B:B,'ШаховВідом '!AP:AP)</f>
        <v>244.44</v>
      </c>
      <c r="F13" s="1">
        <f>SUMIF('ШаховВідом '!1:1,B13,'ШаховВідом '!40:40)</f>
        <v>39151.38</v>
      </c>
      <c r="G13" s="57">
        <f t="shared" si="0"/>
        <v>0</v>
      </c>
      <c r="H13" s="57"/>
      <c r="I13" s="3"/>
      <c r="J13" s="3"/>
    </row>
    <row r="14" spans="1:10" ht="12.75">
      <c r="A14" s="15" t="s">
        <v>272</v>
      </c>
      <c r="B14" s="6" t="s">
        <v>273</v>
      </c>
      <c r="C14" s="64">
        <v>0</v>
      </c>
      <c r="D14" s="64"/>
      <c r="E14" s="1">
        <f>SUMIF('ШаховВідом '!PRINT_TITLES,B:B,'ШаховВідом '!AP:AP)</f>
        <v>0</v>
      </c>
      <c r="F14" s="1">
        <f>SUMIF('ШаховВідом '!1:1,B14,'ШаховВідом '!40:40)</f>
        <v>0</v>
      </c>
      <c r="G14" s="57">
        <f>SUM(C14+E14-F14)</f>
        <v>0</v>
      </c>
      <c r="H14" s="57"/>
      <c r="I14" s="3"/>
      <c r="J14" s="3"/>
    </row>
    <row r="15" spans="1:10" ht="12.75">
      <c r="A15" s="15" t="s">
        <v>90</v>
      </c>
      <c r="B15" s="6" t="s">
        <v>91</v>
      </c>
      <c r="C15" s="64">
        <v>0</v>
      </c>
      <c r="D15" s="64"/>
      <c r="E15" s="1">
        <f>SUMIF('ШаховВідом '!PRINT_TITLES,B:B,'ШаховВідом '!AP:AP)</f>
        <v>0</v>
      </c>
      <c r="F15" s="1">
        <f>SUMIF('ШаховВідом '!1:1,B15,'ШаховВідом '!40:40)</f>
        <v>0</v>
      </c>
      <c r="G15" s="57">
        <f t="shared" si="0"/>
        <v>0</v>
      </c>
      <c r="H15" s="57"/>
      <c r="I15" s="3"/>
      <c r="J15" s="3"/>
    </row>
    <row r="16" spans="1:10" ht="12.75">
      <c r="A16" s="15" t="s">
        <v>58</v>
      </c>
      <c r="B16" s="6" t="s">
        <v>59</v>
      </c>
      <c r="C16" s="64">
        <v>0</v>
      </c>
      <c r="D16" s="64">
        <v>0</v>
      </c>
      <c r="E16" s="1">
        <f>SUMIF('ШаховВідом '!PRINT_TITLES,B:B,'ШаховВідом '!AP:AP)</f>
        <v>0</v>
      </c>
      <c r="F16" s="1">
        <f>SUMIF('ШаховВідом '!1:1,B16,'ШаховВідом '!40:40)</f>
        <v>0</v>
      </c>
      <c r="G16" s="57">
        <f>'372 '!J6</f>
        <v>0</v>
      </c>
      <c r="H16" s="57">
        <f>'372 '!J7</f>
        <v>100</v>
      </c>
      <c r="I16" s="3"/>
      <c r="J16" s="3"/>
    </row>
    <row r="17" spans="1:10" ht="12.75">
      <c r="A17" s="15" t="s">
        <v>274</v>
      </c>
      <c r="B17" s="6" t="s">
        <v>275</v>
      </c>
      <c r="C17" s="64">
        <v>0</v>
      </c>
      <c r="D17" s="64"/>
      <c r="E17" s="1">
        <f>SUMIF('ШаховВідом '!PRINT_TITLES,B:B,'ШаховВідом '!AP:AP)</f>
        <v>0</v>
      </c>
      <c r="F17" s="1">
        <f>SUMIF('ШаховВідом '!1:1,B17,'ШаховВідом '!40:40)</f>
        <v>0</v>
      </c>
      <c r="G17" s="57">
        <f>SUM(C17+E17-F17)</f>
        <v>0</v>
      </c>
      <c r="H17" s="57"/>
      <c r="I17" s="3"/>
      <c r="J17" s="3"/>
    </row>
    <row r="18" spans="1:10" ht="12.75">
      <c r="A18" s="15" t="s">
        <v>92</v>
      </c>
      <c r="B18" s="6" t="s">
        <v>93</v>
      </c>
      <c r="C18" s="64"/>
      <c r="D18" s="64">
        <v>32489</v>
      </c>
      <c r="E18" s="1">
        <f>SUMIF('ШаховВідом '!PRINT_TITLES,B:B,'ШаховВідом '!AP:AP)</f>
        <v>32489</v>
      </c>
      <c r="F18" s="1">
        <f>SUMIF('ШаховВідом '!1:1,B18,'ШаховВідом '!40:40)</f>
        <v>0</v>
      </c>
      <c r="G18" s="57"/>
      <c r="H18" s="57">
        <f>SUM(D18+F18-E18)</f>
        <v>0</v>
      </c>
      <c r="I18" s="3"/>
      <c r="J18" s="3"/>
    </row>
    <row r="19" spans="1:10" ht="12.75">
      <c r="A19" s="15" t="s">
        <v>223</v>
      </c>
      <c r="B19" s="6" t="s">
        <v>222</v>
      </c>
      <c r="C19" s="64"/>
      <c r="D19" s="64">
        <v>8122.25</v>
      </c>
      <c r="E19" s="1">
        <f>SUMIF('ШаховВідом '!PRINT_TITLES,B:B,'ШаховВідом '!AP:AP)</f>
        <v>8122.25</v>
      </c>
      <c r="F19" s="1">
        <f>SUMIF('ШаховВідом '!1:1,B19,'ШаховВідом '!40:40)</f>
        <v>0</v>
      </c>
      <c r="G19" s="57"/>
      <c r="H19" s="57">
        <f>SUM(D19+F19-E19)</f>
        <v>0</v>
      </c>
      <c r="I19" s="3"/>
      <c r="J19" s="3"/>
    </row>
    <row r="20" spans="1:10" ht="12.75">
      <c r="A20" s="15" t="s">
        <v>94</v>
      </c>
      <c r="B20" s="6" t="s">
        <v>95</v>
      </c>
      <c r="C20" s="64"/>
      <c r="D20" s="64">
        <v>3306.58</v>
      </c>
      <c r="E20" s="1">
        <f>SUMIF('ШаховВідом '!PRINT_TITLES,B:B,'ШаховВідом '!AP:AP)</f>
        <v>3306.58</v>
      </c>
      <c r="F20" s="1">
        <f>SUMIF('ШаховВідом '!$1:$1,B20,'ШаховВідом '!$40:$40)</f>
        <v>0</v>
      </c>
      <c r="G20" s="57"/>
      <c r="H20" s="57">
        <f>SUM(D20+F20-E20)</f>
        <v>0</v>
      </c>
      <c r="I20" s="3"/>
      <c r="J20" s="3"/>
    </row>
    <row r="21" spans="1:10" ht="12.75">
      <c r="A21" s="15" t="s">
        <v>287</v>
      </c>
      <c r="B21" s="6" t="s">
        <v>288</v>
      </c>
      <c r="C21" s="64">
        <v>4766.04</v>
      </c>
      <c r="D21" s="64"/>
      <c r="E21" s="1">
        <f>SUMIF('ШаховВідом '!PRINT_TITLES,B:B,'ШаховВідом '!AP:AP)</f>
        <v>38987.38</v>
      </c>
      <c r="F21" s="1">
        <f>SUMIF('ШаховВідом '!1:1,B21,'ШаховВідом '!40:40)</f>
        <v>43753.42</v>
      </c>
      <c r="G21" s="57">
        <f>SUM(C21+E21-F21)</f>
        <v>0</v>
      </c>
      <c r="H21" s="57"/>
      <c r="I21" s="3"/>
      <c r="J21" s="3"/>
    </row>
    <row r="22" spans="1:10" ht="26.25">
      <c r="A22" s="15" t="s">
        <v>60</v>
      </c>
      <c r="B22" s="6" t="s">
        <v>61</v>
      </c>
      <c r="C22" s="64">
        <v>0</v>
      </c>
      <c r="D22" s="64">
        <v>0</v>
      </c>
      <c r="E22" s="1">
        <f>SUMIF('ШаховВідом '!PRINT_TITLES,B:B,'ШаховВідом '!AP:AP)</f>
        <v>0</v>
      </c>
      <c r="F22" s="1">
        <f>SUMIF('ШаховВідом '!1:1,B22,'ШаховВідом '!40:40)</f>
        <v>0</v>
      </c>
      <c r="G22" s="57">
        <f>'631'!K8</f>
        <v>0</v>
      </c>
      <c r="H22" s="57">
        <f>'631'!K9</f>
        <v>0</v>
      </c>
      <c r="I22" s="3"/>
      <c r="J22" s="3"/>
    </row>
    <row r="23" spans="1:10" ht="12.75">
      <c r="A23" s="15" t="s">
        <v>96</v>
      </c>
      <c r="B23" s="6" t="s">
        <v>62</v>
      </c>
      <c r="C23" s="64"/>
      <c r="D23" s="64">
        <v>-244.85</v>
      </c>
      <c r="E23" s="1">
        <f>SUMIF('ШаховВідом '!PRINT_TITLES,B:B,'ШаховВідом '!AP:AP)</f>
        <v>0</v>
      </c>
      <c r="F23" s="1">
        <f>SUMIF('ШаховВідом '!1:1,B23,'ШаховВідом '!40:40)</f>
        <v>244.85</v>
      </c>
      <c r="G23" s="57"/>
      <c r="H23" s="57">
        <f aca="true" t="shared" si="1" ref="H23:H38">SUM(D23+F23-E23)</f>
        <v>0</v>
      </c>
      <c r="I23" s="3"/>
      <c r="J23" s="3"/>
    </row>
    <row r="24" spans="1:10" ht="12.75">
      <c r="A24" s="15" t="s">
        <v>97</v>
      </c>
      <c r="B24" s="6" t="s">
        <v>98</v>
      </c>
      <c r="C24" s="64"/>
      <c r="D24" s="64">
        <v>0</v>
      </c>
      <c r="E24" s="1">
        <f>SUMIF('ШаховВідом '!PRINT_TITLES,B:B,'ШаховВідом '!AP:AP)</f>
        <v>0</v>
      </c>
      <c r="F24" s="1">
        <f>SUMIF('ШаховВідом '!1:1,B24,'ШаховВідом '!40:40)</f>
        <v>0</v>
      </c>
      <c r="G24" s="57"/>
      <c r="H24" s="57">
        <f t="shared" si="1"/>
        <v>0</v>
      </c>
      <c r="I24" s="3"/>
      <c r="J24" s="3"/>
    </row>
    <row r="25" spans="1:10" ht="12.75">
      <c r="A25" s="15" t="s">
        <v>280</v>
      </c>
      <c r="B25" s="6" t="s">
        <v>99</v>
      </c>
      <c r="C25" s="64"/>
      <c r="D25" s="64">
        <v>0</v>
      </c>
      <c r="E25" s="1">
        <f>SUMIF('ШаховВідом '!PRINT_TITLES,B:B,'ШаховВідом '!AP:AP)</f>
        <v>0</v>
      </c>
      <c r="F25" s="1">
        <f>SUMIF('ШаховВідом '!1:1,B25,'ШаховВідом '!40:40)</f>
        <v>0</v>
      </c>
      <c r="G25" s="57"/>
      <c r="H25" s="57">
        <f t="shared" si="1"/>
        <v>0</v>
      </c>
      <c r="I25" s="3"/>
      <c r="J25" s="3"/>
    </row>
    <row r="26" spans="1:10" ht="12.75">
      <c r="A26" s="15" t="s">
        <v>100</v>
      </c>
      <c r="B26" s="6" t="s">
        <v>101</v>
      </c>
      <c r="C26" s="64"/>
      <c r="D26" s="64">
        <v>0</v>
      </c>
      <c r="E26" s="1">
        <f>SUMIF('ШаховВідом '!PRINT_TITLES,B:B,'ШаховВідом '!AP:AP)</f>
        <v>0</v>
      </c>
      <c r="F26" s="1">
        <f>SUMIF('ШаховВідом '!$1:$1,B26,'ШаховВідом '!$40:$40)</f>
        <v>0</v>
      </c>
      <c r="G26" s="57"/>
      <c r="H26" s="57">
        <f t="shared" si="1"/>
        <v>0</v>
      </c>
      <c r="I26" s="3"/>
      <c r="J26" s="3"/>
    </row>
    <row r="27" spans="1:10" ht="12.75">
      <c r="A27" s="15" t="s">
        <v>102</v>
      </c>
      <c r="B27" s="6" t="s">
        <v>103</v>
      </c>
      <c r="C27" s="64"/>
      <c r="D27" s="64">
        <v>0</v>
      </c>
      <c r="E27" s="1">
        <f>SUMIF('ШаховВідом '!PRINT_TITLES,B:B,'ШаховВідом '!AP:AP)</f>
        <v>0</v>
      </c>
      <c r="F27" s="1">
        <f>SUMIF('ШаховВідом '!$1:$1,B27,'ШаховВідом '!$40:$40)</f>
        <v>0</v>
      </c>
      <c r="G27" s="57"/>
      <c r="H27" s="57">
        <f t="shared" si="1"/>
        <v>0</v>
      </c>
      <c r="I27" s="3"/>
      <c r="J27" s="3"/>
    </row>
    <row r="28" spans="1:10" ht="12.75">
      <c r="A28" s="15" t="s">
        <v>104</v>
      </c>
      <c r="B28" s="6" t="s">
        <v>105</v>
      </c>
      <c r="C28" s="64"/>
      <c r="D28" s="64">
        <v>0</v>
      </c>
      <c r="E28" s="1">
        <f>SUMIF('ШаховВідом '!PRINT_TITLES,B:B,'ШаховВідом '!AP:AP)</f>
        <v>0</v>
      </c>
      <c r="F28" s="1">
        <f>SUMIF('ШаховВідом '!$1:$1,B28,'ШаховВідом '!$40:$40)</f>
        <v>0</v>
      </c>
      <c r="G28" s="57"/>
      <c r="H28" s="57">
        <f t="shared" si="1"/>
        <v>0</v>
      </c>
      <c r="I28" s="3"/>
      <c r="J28" s="3"/>
    </row>
    <row r="29" spans="1:10" ht="12.75">
      <c r="A29" s="15" t="s">
        <v>233</v>
      </c>
      <c r="B29" s="6" t="s">
        <v>234</v>
      </c>
      <c r="C29" s="64">
        <v>0</v>
      </c>
      <c r="D29" s="64"/>
      <c r="E29" s="1">
        <f>SUMIF('ШаховВідом '!PRINT_TITLES,B:B,'ШаховВідом '!AP:AP)</f>
        <v>0</v>
      </c>
      <c r="F29" s="1">
        <f>SUMIF('ШаховВідом '!$1:$1,B29,'ШаховВідом '!$40:$40)</f>
        <v>0</v>
      </c>
      <c r="G29" s="57">
        <f>SUM(C29+E29-F29)</f>
        <v>0</v>
      </c>
      <c r="H29" s="57"/>
      <c r="I29" s="3"/>
      <c r="J29" s="3"/>
    </row>
    <row r="30" spans="1:10" ht="12.75">
      <c r="A30" s="15" t="s">
        <v>106</v>
      </c>
      <c r="B30" s="6" t="s">
        <v>107</v>
      </c>
      <c r="C30" s="64"/>
      <c r="D30" s="64">
        <v>0</v>
      </c>
      <c r="E30" s="1">
        <f>SUMIF('ШаховВідом '!PRINT_TITLES,B:B,'ШаховВідом '!AP:AP)</f>
        <v>0</v>
      </c>
      <c r="F30" s="1">
        <f>SUMIF('ШаховВідом '!$1:$1,B30,'ШаховВідом '!$40:$40)</f>
        <v>0</v>
      </c>
      <c r="G30" s="57"/>
      <c r="H30" s="57">
        <f t="shared" si="1"/>
        <v>0</v>
      </c>
      <c r="I30" s="3"/>
      <c r="J30" s="3"/>
    </row>
    <row r="31" spans="1:10" ht="12.75">
      <c r="A31" s="15" t="s">
        <v>63</v>
      </c>
      <c r="B31" s="6" t="s">
        <v>64</v>
      </c>
      <c r="C31" s="64"/>
      <c r="D31" s="64">
        <v>0</v>
      </c>
      <c r="E31" s="1">
        <f>SUMIF('ШаховВідом '!PRINT_TITLES,B:B,'ШаховВідом '!AP:AP)</f>
        <v>0</v>
      </c>
      <c r="F31" s="1">
        <f>SUMIF('ШаховВідом '!1:1,B31,'ШаховВідом '!40:40)</f>
        <v>0</v>
      </c>
      <c r="G31" s="57"/>
      <c r="H31" s="57">
        <f t="shared" si="1"/>
        <v>0</v>
      </c>
      <c r="I31" s="3"/>
      <c r="J31" s="3"/>
    </row>
    <row r="32" spans="1:10" ht="12.75">
      <c r="A32" s="15" t="s">
        <v>65</v>
      </c>
      <c r="B32" s="6" t="s">
        <v>28</v>
      </c>
      <c r="C32" s="64"/>
      <c r="D32" s="64">
        <v>0</v>
      </c>
      <c r="E32" s="1">
        <f>SUMIF('ШаховВідом '!PRINT_TITLES,B:B,'ШаховВідом '!AP:AP)</f>
        <v>0</v>
      </c>
      <c r="F32" s="1">
        <f>SUMIF('ШаховВідом '!1:1,B32,'ШаховВідом '!40:40)</f>
        <v>0</v>
      </c>
      <c r="G32" s="57"/>
      <c r="H32" s="57">
        <f t="shared" si="1"/>
        <v>0</v>
      </c>
      <c r="I32" s="3"/>
      <c r="J32" s="3"/>
    </row>
    <row r="33" spans="1:10" ht="26.25">
      <c r="A33" s="15" t="s">
        <v>179</v>
      </c>
      <c r="B33" s="6" t="s">
        <v>178</v>
      </c>
      <c r="C33" s="64"/>
      <c r="D33" s="64">
        <v>0</v>
      </c>
      <c r="E33" s="1">
        <f>SUMIF('ШаховВідом '!PRINT_TITLES,B:B,'ШаховВідом '!AP:AP)</f>
        <v>0</v>
      </c>
      <c r="F33" s="1">
        <f>SUMIF('ШаховВідом '!1:1,B33,'ШаховВідом '!40:40)</f>
        <v>0</v>
      </c>
      <c r="G33" s="57"/>
      <c r="H33" s="57">
        <f t="shared" si="1"/>
        <v>0</v>
      </c>
      <c r="I33" s="3"/>
      <c r="J33" s="3"/>
    </row>
    <row r="34" spans="1:10" ht="26.25">
      <c r="A34" s="15" t="s">
        <v>66</v>
      </c>
      <c r="B34" s="6" t="s">
        <v>67</v>
      </c>
      <c r="C34" s="64"/>
      <c r="D34" s="64">
        <v>0</v>
      </c>
      <c r="E34" s="1">
        <f>SUMIF('ШаховВідом '!PRINT_TITLES,B:B,'ШаховВідом '!AP:AP)</f>
        <v>0</v>
      </c>
      <c r="F34" s="1">
        <f>SUMIF('ШаховВідом '!1:1,B34,'ШаховВідом '!40:40)</f>
        <v>0</v>
      </c>
      <c r="G34" s="57"/>
      <c r="H34" s="57">
        <f t="shared" si="1"/>
        <v>0</v>
      </c>
      <c r="I34" s="3"/>
      <c r="J34" s="3"/>
    </row>
    <row r="35" spans="1:10" ht="12.75">
      <c r="A35" s="15" t="s">
        <v>68</v>
      </c>
      <c r="B35" s="6" t="s">
        <v>69</v>
      </c>
      <c r="C35" s="64"/>
      <c r="D35" s="64">
        <v>0</v>
      </c>
      <c r="E35" s="1">
        <f>SUMIF('ШаховВідом '!PRINT_TITLES,B:B,'ШаховВідом '!AP:AP)</f>
        <v>0</v>
      </c>
      <c r="F35" s="1">
        <f>SUMIF('ШаховВідом '!1:1,B35,'ШаховВідом '!40:40)</f>
        <v>0</v>
      </c>
      <c r="G35" s="57"/>
      <c r="H35" s="57">
        <f t="shared" si="1"/>
        <v>0</v>
      </c>
      <c r="I35" s="3"/>
      <c r="J35" s="3"/>
    </row>
    <row r="36" spans="1:10" ht="12.75">
      <c r="A36" s="15" t="s">
        <v>108</v>
      </c>
      <c r="B36" s="6" t="s">
        <v>109</v>
      </c>
      <c r="C36" s="64"/>
      <c r="D36" s="64">
        <v>0</v>
      </c>
      <c r="E36" s="1">
        <f>SUMIF('ШаховВідом '!PRINT_TITLES,B:B,'ШаховВідом '!AP:AP)</f>
        <v>0</v>
      </c>
      <c r="F36" s="1">
        <f>SUMIF('ШаховВідом '!1:1,B36,'ШаховВідом '!40:40)</f>
        <v>0</v>
      </c>
      <c r="G36" s="57"/>
      <c r="H36" s="57">
        <f t="shared" si="1"/>
        <v>0</v>
      </c>
      <c r="I36" s="3"/>
      <c r="J36" s="3"/>
    </row>
    <row r="37" spans="1:10" ht="12.75">
      <c r="A37" s="15" t="s">
        <v>110</v>
      </c>
      <c r="B37" s="6" t="s">
        <v>111</v>
      </c>
      <c r="C37" s="64"/>
      <c r="D37" s="64">
        <v>0</v>
      </c>
      <c r="E37" s="1">
        <f>SUMIF('ШаховВідом '!PRINT_TITLES,B:B,'ШаховВідом '!AP:AP)</f>
        <v>0</v>
      </c>
      <c r="F37" s="1">
        <f>SUMIF('ШаховВідом '!1:1,B37,'ШаховВідом '!40:40)</f>
        <v>0</v>
      </c>
      <c r="G37" s="57"/>
      <c r="H37" s="57">
        <f t="shared" si="1"/>
        <v>0</v>
      </c>
      <c r="I37" s="3"/>
      <c r="J37" s="3"/>
    </row>
    <row r="38" spans="1:10" ht="12.75">
      <c r="A38" s="15" t="s">
        <v>70</v>
      </c>
      <c r="B38" s="6" t="s">
        <v>71</v>
      </c>
      <c r="C38" s="64"/>
      <c r="D38" s="64">
        <v>0</v>
      </c>
      <c r="E38" s="1">
        <f>SUMIF('ШаховВідом '!PRINT_TITLES,B:B,'ШаховВідом '!AP:AP)</f>
        <v>0</v>
      </c>
      <c r="F38" s="1">
        <f>SUMIF('ШаховВідом '!1:1,B38,'ШаховВідом '!40:40)</f>
        <v>0</v>
      </c>
      <c r="G38" s="57"/>
      <c r="H38" s="57">
        <f t="shared" si="1"/>
        <v>0</v>
      </c>
      <c r="I38" s="3"/>
      <c r="J38" s="3"/>
    </row>
    <row r="39" spans="1:10" ht="12.75">
      <c r="A39" s="15" t="s">
        <v>276</v>
      </c>
      <c r="B39" s="6" t="s">
        <v>277</v>
      </c>
      <c r="C39" s="64"/>
      <c r="D39" s="64">
        <v>0</v>
      </c>
      <c r="E39" s="1">
        <f>SUMIF('ШаховВідом '!PRINT_TITLES,B:B,'ШаховВідом '!AP:AP)</f>
        <v>0</v>
      </c>
      <c r="F39" s="1">
        <f>SUMIF('ШаховВідом '!1:1,B39,'ШаховВідом '!40:40)</f>
        <v>0</v>
      </c>
      <c r="G39" s="57"/>
      <c r="H39" s="57">
        <f>SUM(D39+F39-E39)</f>
        <v>0</v>
      </c>
      <c r="I39" s="3"/>
      <c r="J39" s="3"/>
    </row>
    <row r="40" spans="1:10" ht="12.75">
      <c r="A40" s="15" t="s">
        <v>72</v>
      </c>
      <c r="B40" s="6" t="s">
        <v>73</v>
      </c>
      <c r="C40" s="64"/>
      <c r="D40" s="64">
        <v>0</v>
      </c>
      <c r="E40" s="1">
        <f>SUMIF('ШаховВідом '!PRINT_TITLES,B:B,'ШаховВідом '!AP:AP)</f>
        <v>164</v>
      </c>
      <c r="F40" s="1">
        <f>SUMIF('ШаховВідом '!1:1,B40,'ШаховВідом '!40:40)</f>
        <v>164</v>
      </c>
      <c r="G40" s="57"/>
      <c r="H40" s="57">
        <f>SUM(D40+F40-E40)</f>
        <v>0</v>
      </c>
      <c r="I40" s="3"/>
      <c r="J40" s="3"/>
    </row>
    <row r="41" spans="1:10" ht="12.75">
      <c r="A41" s="15" t="s">
        <v>279</v>
      </c>
      <c r="B41" s="6" t="s">
        <v>278</v>
      </c>
      <c r="C41" s="64"/>
      <c r="D41" s="64">
        <v>0</v>
      </c>
      <c r="E41" s="1">
        <f>SUMIF('ШаховВідом '!PRINT_TITLES,B:B,'ШаховВідом '!AP:AP)</f>
        <v>0</v>
      </c>
      <c r="F41" s="1">
        <f>SUMIF('ШаховВідом '!1:1,B41,'ШаховВідом '!40:40)</f>
        <v>0</v>
      </c>
      <c r="G41" s="57"/>
      <c r="H41" s="57">
        <f>SUM(D41+F41-E41)</f>
        <v>0</v>
      </c>
      <c r="I41" s="3"/>
      <c r="J41" s="3"/>
    </row>
    <row r="42" spans="1:10" ht="12.75">
      <c r="A42" s="15" t="s">
        <v>189</v>
      </c>
      <c r="B42" s="6" t="s">
        <v>190</v>
      </c>
      <c r="C42" s="64">
        <v>0</v>
      </c>
      <c r="D42" s="64"/>
      <c r="E42" s="1">
        <f>SUMIF('ШаховВідом '!PRINT_TITLES,B:B,'ШаховВідом '!AP:AP)</f>
        <v>0</v>
      </c>
      <c r="F42" s="1">
        <f>SUMIF('ШаховВідом '!1:1,B42,'ШаховВідом '!40:40)</f>
        <v>0</v>
      </c>
      <c r="G42" s="57">
        <f>SUM(C42+E42-F42)</f>
        <v>0</v>
      </c>
      <c r="H42" s="57"/>
      <c r="I42" s="3"/>
      <c r="J42" s="3"/>
    </row>
    <row r="43" spans="1:10" ht="12.75">
      <c r="A43" s="15" t="s">
        <v>86</v>
      </c>
      <c r="B43" s="6" t="s">
        <v>87</v>
      </c>
      <c r="C43" s="64">
        <v>0</v>
      </c>
      <c r="D43" s="64"/>
      <c r="E43" s="1">
        <f>SUMIF('ШаховВідом '!PRINT_TITLES,B:B,'ШаховВідом '!AP:AP)</f>
        <v>164</v>
      </c>
      <c r="F43" s="1">
        <f>SUMIF('ШаховВідом '!1:1,B43,'ШаховВідом '!40:40)</f>
        <v>164</v>
      </c>
      <c r="G43" s="57">
        <f>SUM(C43+E43-F43)</f>
        <v>0</v>
      </c>
      <c r="H43" s="57"/>
      <c r="I43" s="3"/>
      <c r="J43" s="3"/>
    </row>
    <row r="44" spans="1:8" ht="12.75">
      <c r="A44" s="62" t="s">
        <v>76</v>
      </c>
      <c r="C44" s="63">
        <f aca="true" t="shared" si="2" ref="C44:H44">SUM(C2:C43)</f>
        <v>43672.98</v>
      </c>
      <c r="D44" s="63">
        <f t="shared" si="2"/>
        <v>43672.98</v>
      </c>
      <c r="E44" s="63">
        <f t="shared" si="2"/>
        <v>83477.65</v>
      </c>
      <c r="F44" s="63">
        <f t="shared" si="2"/>
        <v>83477.65</v>
      </c>
      <c r="G44" s="63">
        <f t="shared" si="2"/>
        <v>0</v>
      </c>
      <c r="H44" s="63">
        <f t="shared" si="2"/>
        <v>100</v>
      </c>
    </row>
    <row r="46" ht="12.75">
      <c r="D46" s="63"/>
    </row>
  </sheetData>
  <sheetProtection/>
  <printOptions/>
  <pageMargins left="1.07" right="0.79" top="1" bottom="1" header="0.5" footer="0.5"/>
  <pageSetup orientation="landscape" paperSize="9" r:id="rId2"/>
  <headerFooter alignWithMargins="0">
    <oddHeader>&amp;CОборотний баланс за &amp;F&amp;RТОВ"Автопневмотех"
Код за ЄДРПОУ 25163861</oddHeader>
    <oddFooter>&amp;RСтор.&amp;P
Всього &amp;Nстор.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9.50390625" style="0" customWidth="1"/>
  </cols>
  <sheetData>
    <row r="1" spans="1:2" ht="15">
      <c r="A1" s="5"/>
      <c r="B1" s="5"/>
    </row>
    <row r="5" ht="12.75">
      <c r="B5" s="2"/>
    </row>
    <row r="8" ht="12.75">
      <c r="B8" s="2"/>
    </row>
    <row r="11" ht="12.75">
      <c r="B11" s="2"/>
    </row>
    <row r="12" ht="12.75">
      <c r="B12" s="2"/>
    </row>
    <row r="13" ht="12.75">
      <c r="B13" s="2"/>
    </row>
    <row r="18" ht="12.75">
      <c r="B18" s="2"/>
    </row>
    <row r="25" ht="12.75">
      <c r="B25" s="2"/>
    </row>
    <row r="26" ht="12.75">
      <c r="B26" s="2"/>
    </row>
    <row r="28" ht="12.75">
      <c r="B28" s="2"/>
    </row>
    <row r="30" ht="12.75">
      <c r="B30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9" ht="12.75">
      <c r="B39" s="2"/>
    </row>
    <row r="46" ht="12.75">
      <c r="B46" s="2"/>
    </row>
    <row r="49" ht="12.75">
      <c r="B49" s="2"/>
    </row>
    <row r="50" ht="12.75">
      <c r="B50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7" ht="12.75">
      <c r="B57" s="2"/>
    </row>
    <row r="58" ht="12.75">
      <c r="B58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7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9" sqref="F9"/>
    </sheetView>
  </sheetViews>
  <sheetFormatPr defaultColWidth="9.125" defaultRowHeight="12.75"/>
  <cols>
    <col min="1" max="1" width="4.50390625" style="30" customWidth="1"/>
    <col min="2" max="2" width="7.125" style="30" customWidth="1"/>
    <col min="3" max="3" width="24.00390625" style="40" customWidth="1"/>
    <col min="4" max="4" width="5.00390625" style="30" bestFit="1" customWidth="1"/>
    <col min="5" max="5" width="9.125" style="32" customWidth="1"/>
    <col min="6" max="6" width="9.50390625" style="32" bestFit="1" customWidth="1"/>
    <col min="7" max="9" width="9.50390625" style="30" bestFit="1" customWidth="1"/>
    <col min="10" max="10" width="10.125" style="30" bestFit="1" customWidth="1"/>
    <col min="11" max="16384" width="9.125" style="30" customWidth="1"/>
  </cols>
  <sheetData>
    <row r="1" spans="1:10" ht="37.5" customHeight="1">
      <c r="A1" s="29" t="s">
        <v>1</v>
      </c>
      <c r="B1" s="29" t="s">
        <v>2</v>
      </c>
      <c r="C1" s="39" t="s">
        <v>3</v>
      </c>
      <c r="D1" s="29" t="s">
        <v>4</v>
      </c>
      <c r="E1" s="31" t="s">
        <v>5</v>
      </c>
      <c r="F1" s="31" t="s">
        <v>6</v>
      </c>
      <c r="G1" s="29" t="s">
        <v>7</v>
      </c>
      <c r="H1" s="29" t="s">
        <v>5</v>
      </c>
      <c r="I1" s="29" t="s">
        <v>6</v>
      </c>
      <c r="J1" s="29" t="s">
        <v>7</v>
      </c>
    </row>
    <row r="2" spans="1:10" ht="12.75">
      <c r="A2" s="29">
        <v>1</v>
      </c>
      <c r="B2" s="29">
        <v>16</v>
      </c>
      <c r="C2" s="47" t="s">
        <v>283</v>
      </c>
      <c r="D2" s="29">
        <v>92</v>
      </c>
      <c r="E2" s="31"/>
      <c r="F2" s="31">
        <v>59</v>
      </c>
      <c r="G2" s="36">
        <v>38906.94</v>
      </c>
      <c r="H2" s="31">
        <f>SUM(H5:H20)</f>
        <v>544.44</v>
      </c>
      <c r="I2" s="31">
        <f>SUM(J5:J22)</f>
        <v>10464</v>
      </c>
      <c r="J2" s="37">
        <f>G2+H2-I2</f>
        <v>28987.38</v>
      </c>
    </row>
    <row r="3" spans="1:10" ht="12.75">
      <c r="A3" s="29">
        <v>2</v>
      </c>
      <c r="B3" s="29">
        <v>17</v>
      </c>
      <c r="C3" s="48" t="s">
        <v>290</v>
      </c>
      <c r="D3" s="29">
        <v>6411</v>
      </c>
      <c r="E3" s="31">
        <v>244.44</v>
      </c>
      <c r="F3" s="31"/>
      <c r="G3" s="29" t="s">
        <v>8</v>
      </c>
      <c r="H3" s="31">
        <f>SUM('311'!E:E)</f>
        <v>544.44</v>
      </c>
      <c r="I3" s="31">
        <f>SUM('311'!F:F)</f>
        <v>10464</v>
      </c>
      <c r="J3" s="29"/>
    </row>
    <row r="4" spans="1:10" ht="12.75">
      <c r="A4" s="29">
        <v>3</v>
      </c>
      <c r="B4" s="29">
        <v>22</v>
      </c>
      <c r="C4" s="48" t="s">
        <v>283</v>
      </c>
      <c r="D4" s="29">
        <v>92</v>
      </c>
      <c r="E4" s="31"/>
      <c r="F4" s="31">
        <v>100</v>
      </c>
      <c r="G4" s="29"/>
      <c r="H4" s="29" t="s">
        <v>227</v>
      </c>
      <c r="I4" s="29"/>
      <c r="J4" s="29" t="s">
        <v>228</v>
      </c>
    </row>
    <row r="5" spans="1:10" ht="12.75">
      <c r="A5" s="29">
        <v>3</v>
      </c>
      <c r="B5" s="29"/>
      <c r="C5" s="48" t="s">
        <v>283</v>
      </c>
      <c r="D5" s="29">
        <v>92</v>
      </c>
      <c r="E5" s="31"/>
      <c r="F5" s="31">
        <v>5</v>
      </c>
      <c r="G5" s="29">
        <v>719</v>
      </c>
      <c r="H5" s="31">
        <f>SUMIF('311'!D:D,G5,'311'!E:E)</f>
        <v>0</v>
      </c>
      <c r="I5" s="29">
        <v>92</v>
      </c>
      <c r="J5" s="31">
        <f>SUMIF('311'!D:D,I5,'311'!F:F)</f>
        <v>164</v>
      </c>
    </row>
    <row r="6" spans="1:10" ht="12.75">
      <c r="A6" s="30">
        <v>3</v>
      </c>
      <c r="C6" s="49" t="s">
        <v>291</v>
      </c>
      <c r="D6" s="30">
        <v>672</v>
      </c>
      <c r="F6" s="32">
        <v>10000</v>
      </c>
      <c r="G6" s="29">
        <v>672</v>
      </c>
      <c r="H6" s="31">
        <f>SUMIF('311'!D:D,G6,'311'!E:E)</f>
        <v>0</v>
      </c>
      <c r="I6" s="29">
        <v>672</v>
      </c>
      <c r="J6" s="31">
        <f>SUMIF('311'!D:D,I6,'311'!F:F)</f>
        <v>10000</v>
      </c>
    </row>
    <row r="7" spans="1:10" ht="12.75">
      <c r="A7" s="30">
        <v>3</v>
      </c>
      <c r="C7" s="50" t="s">
        <v>122</v>
      </c>
      <c r="D7" s="30">
        <v>361</v>
      </c>
      <c r="E7" s="32">
        <v>300</v>
      </c>
      <c r="G7" s="29">
        <v>361</v>
      </c>
      <c r="H7" s="31">
        <f>SUMIF('311'!D:D,G7,'311'!E:E)</f>
        <v>300</v>
      </c>
      <c r="I7" s="29">
        <v>631</v>
      </c>
      <c r="J7" s="31">
        <f>SUMIF('311'!D:D,I7,'311'!F:F)</f>
        <v>300</v>
      </c>
    </row>
    <row r="8" spans="1:10" ht="12.75">
      <c r="A8" s="30">
        <v>3</v>
      </c>
      <c r="C8" s="2" t="s">
        <v>224</v>
      </c>
      <c r="D8" s="30">
        <v>631</v>
      </c>
      <c r="F8" s="32">
        <v>300</v>
      </c>
      <c r="G8" s="29">
        <v>733</v>
      </c>
      <c r="H8" s="31">
        <f>SUMIF('311'!D:D,G8,'311'!E:E)</f>
        <v>0</v>
      </c>
      <c r="I8" s="29">
        <v>651</v>
      </c>
      <c r="J8" s="31">
        <f>SUMIF('311'!D:D,I8,'311'!F:F)</f>
        <v>0</v>
      </c>
    </row>
    <row r="9" spans="3:10" ht="12.75">
      <c r="C9" s="49"/>
      <c r="G9" s="29">
        <v>631</v>
      </c>
      <c r="H9" s="31">
        <f>SUMIF('311'!D:D,G9,'311'!E:E)</f>
        <v>0</v>
      </c>
      <c r="I9" s="29">
        <v>652</v>
      </c>
      <c r="J9" s="31">
        <f>SUMIF('311'!D:D,I9,'311'!F:F)</f>
        <v>0</v>
      </c>
    </row>
    <row r="10" spans="3:10" ht="12.75">
      <c r="C10" s="49"/>
      <c r="G10" s="29">
        <v>6411</v>
      </c>
      <c r="H10" s="31">
        <f>SUMIF('311'!D:D,G10,'311'!E:E)</f>
        <v>244.44</v>
      </c>
      <c r="I10" s="29">
        <v>653</v>
      </c>
      <c r="J10" s="31">
        <f>SUMIF('311'!D:D,I10,'311'!F:F)</f>
        <v>0</v>
      </c>
    </row>
    <row r="11" spans="3:10" ht="12.75">
      <c r="C11" s="49"/>
      <c r="G11" s="29">
        <v>373</v>
      </c>
      <c r="H11" s="31">
        <f>SUMIF('311'!D:D,G11,'311'!E:E)</f>
        <v>0</v>
      </c>
      <c r="I11" s="30">
        <v>6411</v>
      </c>
      <c r="J11" s="31">
        <f>SUMIF('311'!D:D,I11,'311'!F:F)</f>
        <v>0</v>
      </c>
    </row>
    <row r="12" spans="3:11" ht="12.75">
      <c r="C12" s="2"/>
      <c r="G12" s="29">
        <v>313</v>
      </c>
      <c r="H12" s="31">
        <f>SUMIF('311'!D:D,G12,'311'!E:E)</f>
        <v>0</v>
      </c>
      <c r="I12" s="30">
        <v>6412</v>
      </c>
      <c r="J12" s="31">
        <f>SUMIF('311'!D:D,I12,'311'!F:F)</f>
        <v>0</v>
      </c>
      <c r="K12" s="29"/>
    </row>
    <row r="13" spans="3:11" ht="12.75">
      <c r="C13" s="24"/>
      <c r="G13" s="31"/>
      <c r="H13" s="31">
        <f>SUMIF('311'!D:D,G13,'311'!E:E)</f>
        <v>0</v>
      </c>
      <c r="I13" s="29">
        <v>6413</v>
      </c>
      <c r="J13" s="31">
        <f>SUMIF('311'!D:D,I13,'311'!F:F)</f>
        <v>0</v>
      </c>
      <c r="K13" s="31"/>
    </row>
    <row r="14" spans="3:11" ht="12.75">
      <c r="C14" s="2"/>
      <c r="G14" s="29"/>
      <c r="H14" s="31"/>
      <c r="I14" s="29">
        <v>6414</v>
      </c>
      <c r="J14" s="31">
        <f>SUMIF('311'!D:D,I14,'311'!F:F)</f>
        <v>0</v>
      </c>
      <c r="K14" s="29"/>
    </row>
    <row r="15" spans="3:11" ht="12.75">
      <c r="C15" s="15"/>
      <c r="G15" s="31"/>
      <c r="H15" s="31"/>
      <c r="I15" s="29">
        <v>6415</v>
      </c>
      <c r="J15" s="31">
        <f>SUMIF('311'!D:D,I15,'311'!F:F)</f>
        <v>0</v>
      </c>
      <c r="K15" s="29"/>
    </row>
    <row r="16" spans="3:11" ht="12.75">
      <c r="C16" s="2"/>
      <c r="G16" s="29"/>
      <c r="H16" s="31"/>
      <c r="I16" s="29">
        <v>6421</v>
      </c>
      <c r="J16" s="31">
        <f>SUMIF('311'!D:D,I16,'311'!F:F)</f>
        <v>0</v>
      </c>
      <c r="K16" s="31"/>
    </row>
    <row r="17" spans="3:11" ht="12.75">
      <c r="C17" s="2"/>
      <c r="G17" s="29"/>
      <c r="H17" s="31"/>
      <c r="I17" s="29">
        <v>6522</v>
      </c>
      <c r="J17" s="31">
        <f>SUMIF('311'!D:D,I17,'311'!F:F)</f>
        <v>0</v>
      </c>
      <c r="K17" s="31"/>
    </row>
    <row r="18" spans="3:11" ht="12.75">
      <c r="C18" s="2"/>
      <c r="G18" s="29"/>
      <c r="H18" s="31"/>
      <c r="I18" s="29">
        <v>661</v>
      </c>
      <c r="J18" s="31">
        <f>SUMIF('311'!D:D,I18,'311'!F:F)</f>
        <v>0</v>
      </c>
      <c r="K18" s="31"/>
    </row>
    <row r="19" spans="3:11" ht="12.75">
      <c r="C19" s="15"/>
      <c r="G19" s="29"/>
      <c r="H19" s="31"/>
      <c r="I19" s="29">
        <v>372</v>
      </c>
      <c r="J19" s="31">
        <f>SUMIF('311'!D:D,I19,'311'!F:F)</f>
        <v>0</v>
      </c>
      <c r="K19" s="31"/>
    </row>
    <row r="20" spans="3:11" ht="12.75">
      <c r="C20" s="15"/>
      <c r="G20" s="29"/>
      <c r="H20" s="31"/>
      <c r="I20" s="29">
        <v>313</v>
      </c>
      <c r="J20" s="31">
        <f>SUMIF('311'!D:D,I20,'311'!F:F)</f>
        <v>0</v>
      </c>
      <c r="K20" s="31"/>
    </row>
    <row r="21" spans="3:11" ht="12.75">
      <c r="C21" s="2"/>
      <c r="H21" s="29"/>
      <c r="I21" s="29">
        <v>44</v>
      </c>
      <c r="J21" s="31">
        <f>SUMIF('311'!D:D,I21,'311'!F:F)</f>
        <v>0</v>
      </c>
      <c r="K21" s="31"/>
    </row>
    <row r="22" spans="3:11" ht="12.75">
      <c r="C22" s="2"/>
      <c r="H22" s="29"/>
      <c r="I22" s="31"/>
      <c r="J22" s="29"/>
      <c r="K22" s="31"/>
    </row>
    <row r="23" spans="3:11" ht="12.75">
      <c r="C23" s="15"/>
      <c r="H23" s="29"/>
      <c r="I23" s="31"/>
      <c r="J23" s="29"/>
      <c r="K23" s="31"/>
    </row>
    <row r="24" spans="3:11" ht="12.75">
      <c r="C24" s="15"/>
      <c r="H24" s="29"/>
      <c r="I24" s="31"/>
      <c r="J24" s="29"/>
      <c r="K24" s="31"/>
    </row>
    <row r="25" spans="3:11" ht="12.75">
      <c r="C25" s="15"/>
      <c r="H25" s="29"/>
      <c r="I25" s="31"/>
      <c r="J25" s="29"/>
      <c r="K25" s="31"/>
    </row>
    <row r="26" spans="3:11" ht="12.75">
      <c r="C26" s="15"/>
      <c r="H26" s="29"/>
      <c r="I26" s="31"/>
      <c r="J26" s="29"/>
      <c r="K26" s="31"/>
    </row>
    <row r="27" spans="3:11" ht="12.75">
      <c r="C27" s="2"/>
      <c r="H27" s="29"/>
      <c r="I27" s="31"/>
      <c r="J27" s="29"/>
      <c r="K27" s="31"/>
    </row>
    <row r="28" spans="3:11" ht="12.75">
      <c r="C28" s="15"/>
      <c r="H28" s="29"/>
      <c r="I28" s="31"/>
      <c r="J28" s="29"/>
      <c r="K28" s="31"/>
    </row>
    <row r="29" spans="3:11" ht="12.75">
      <c r="C29" s="2"/>
      <c r="H29" s="29"/>
      <c r="I29" s="31"/>
      <c r="J29" s="29"/>
      <c r="K29" s="31"/>
    </row>
    <row r="30" spans="3:11" ht="12.75">
      <c r="C30" s="15"/>
      <c r="H30" s="29"/>
      <c r="I30" s="31"/>
      <c r="J30" s="29"/>
      <c r="K30" s="31"/>
    </row>
    <row r="31" spans="3:11" ht="12.75">
      <c r="C31" s="15"/>
      <c r="H31" s="29"/>
      <c r="I31" s="31"/>
      <c r="J31" s="29"/>
      <c r="K31" s="31"/>
    </row>
    <row r="32" ht="12.75">
      <c r="C32" s="15"/>
    </row>
    <row r="33" ht="12.75">
      <c r="C33" s="2"/>
    </row>
    <row r="34" spans="3:7" ht="12.75">
      <c r="C34" s="2"/>
      <c r="G34" s="32"/>
    </row>
    <row r="35" ht="12.75">
      <c r="C35" s="2"/>
    </row>
    <row r="36" ht="12.75">
      <c r="C36" s="15"/>
    </row>
    <row r="37" ht="12.75">
      <c r="C37" s="24"/>
    </row>
    <row r="38" ht="12.75">
      <c r="C38" s="15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15"/>
    </row>
    <row r="44" ht="12.75">
      <c r="C44" s="15"/>
    </row>
    <row r="45" ht="12.75">
      <c r="C45" s="15"/>
    </row>
    <row r="46" ht="12.75">
      <c r="C46" s="24"/>
    </row>
    <row r="47" ht="12.75">
      <c r="C47" s="24"/>
    </row>
    <row r="48" ht="12.75">
      <c r="C48" s="35"/>
    </row>
    <row r="49" ht="12.75">
      <c r="C49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61" ht="12.75">
      <c r="C61" s="35"/>
    </row>
    <row r="62" ht="12.75">
      <c r="C62" s="35"/>
    </row>
    <row r="64" ht="12.75">
      <c r="C64" s="35"/>
    </row>
    <row r="66" ht="12.75">
      <c r="C66" s="35"/>
    </row>
    <row r="68" ht="12.75">
      <c r="C68" s="35"/>
    </row>
    <row r="69" ht="12.75">
      <c r="C69" s="35"/>
    </row>
    <row r="70" ht="12.75">
      <c r="C70" s="35"/>
    </row>
    <row r="73" ht="12.75">
      <c r="C73" s="35"/>
    </row>
  </sheetData>
  <sheetProtection/>
  <printOptions/>
  <pageMargins left="0.37" right="0.1968503937007874" top="0.984251968503937" bottom="0.984251968503937" header="0.5118110236220472" footer="0.5118110236220472"/>
  <pageSetup orientation="portrait" paperSize="9" r:id="rId2"/>
  <headerFooter alignWithMargins="0">
    <oddHeader>&amp;CБанк за &amp;F&amp;RТОВ"Автопневмотех"
Код за ЄДРПОУ 25163861</oddHeader>
    <oddFooter>&amp;RСтор.&amp;P
Всього &amp;Nстор.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5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875" style="0" customWidth="1"/>
    <col min="2" max="2" width="6.625" style="0" bestFit="1" customWidth="1"/>
    <col min="3" max="3" width="20.875" style="15" customWidth="1"/>
    <col min="4" max="4" width="5.625" style="20" customWidth="1"/>
    <col min="5" max="6" width="9.125" style="1" customWidth="1"/>
    <col min="7" max="7" width="7.50390625" style="0" customWidth="1"/>
    <col min="8" max="9" width="9.50390625" style="0" bestFit="1" customWidth="1"/>
  </cols>
  <sheetData>
    <row r="1" spans="1:10" ht="36" customHeight="1">
      <c r="A1" s="33" t="s">
        <v>1</v>
      </c>
      <c r="B1" s="33" t="s">
        <v>2</v>
      </c>
      <c r="C1" s="35" t="s">
        <v>3</v>
      </c>
      <c r="D1" s="33" t="s">
        <v>10</v>
      </c>
      <c r="E1" s="34" t="s">
        <v>5</v>
      </c>
      <c r="F1" s="34" t="s">
        <v>6</v>
      </c>
      <c r="G1" s="35" t="s">
        <v>11</v>
      </c>
      <c r="H1" s="33" t="s">
        <v>5</v>
      </c>
      <c r="I1" s="33" t="s">
        <v>6</v>
      </c>
      <c r="J1" s="33" t="s">
        <v>11</v>
      </c>
    </row>
    <row r="2" spans="4:11" ht="12.75">
      <c r="D2" s="33"/>
      <c r="G2" s="28">
        <v>0</v>
      </c>
      <c r="H2" s="1">
        <f>SUM(H5:H22)</f>
        <v>0</v>
      </c>
      <c r="I2" s="1">
        <f>SUM(J5:J22)</f>
        <v>0</v>
      </c>
      <c r="J2" s="28">
        <f>G2+H2-I2</f>
        <v>0</v>
      </c>
      <c r="K2" s="1"/>
    </row>
    <row r="3" spans="4:9" ht="26.25">
      <c r="D3" s="33"/>
      <c r="G3" s="15" t="s">
        <v>8</v>
      </c>
      <c r="H3" s="1">
        <f>SUM(E:E)</f>
        <v>0</v>
      </c>
      <c r="I3" s="1">
        <f>SUM(F:F)</f>
        <v>0</v>
      </c>
    </row>
    <row r="4" spans="4:10" ht="12.75">
      <c r="D4" s="33"/>
      <c r="G4" s="33"/>
      <c r="H4" s="33" t="s">
        <v>225</v>
      </c>
      <c r="I4" s="33"/>
      <c r="J4" s="33" t="s">
        <v>226</v>
      </c>
    </row>
    <row r="5" spans="4:10" ht="12.75">
      <c r="D5" s="33"/>
      <c r="G5" s="33">
        <v>311</v>
      </c>
      <c r="H5" s="34">
        <f>SUMIF(D:D,G5,E:E)</f>
        <v>0</v>
      </c>
      <c r="I5" s="33">
        <v>311</v>
      </c>
      <c r="J5" s="34">
        <f aca="true" t="shared" si="0" ref="J5:J10">SUMIF(D$1:D$65536,I5,F$1:F$65536)</f>
        <v>0</v>
      </c>
    </row>
    <row r="6" spans="3:10" ht="12.75">
      <c r="C6"/>
      <c r="D6" s="33"/>
      <c r="G6" s="33"/>
      <c r="H6" s="34">
        <f>SUMIF(D:D,G6,E:E)</f>
        <v>0</v>
      </c>
      <c r="I6" s="33">
        <v>372</v>
      </c>
      <c r="J6" s="34">
        <f t="shared" si="0"/>
        <v>0</v>
      </c>
    </row>
    <row r="7" spans="3:10" ht="12.75">
      <c r="C7"/>
      <c r="D7" s="33"/>
      <c r="G7" s="33"/>
      <c r="H7" s="34">
        <f>SUMIF(D:D,G7,E:E)</f>
        <v>0</v>
      </c>
      <c r="I7" s="33">
        <v>661</v>
      </c>
      <c r="J7" s="34">
        <f t="shared" si="0"/>
        <v>0</v>
      </c>
    </row>
    <row r="8" spans="3:10" ht="12.75">
      <c r="C8"/>
      <c r="D8" s="33"/>
      <c r="G8" s="33"/>
      <c r="H8" s="33"/>
      <c r="I8" s="33">
        <v>44</v>
      </c>
      <c r="J8" s="34">
        <f t="shared" si="0"/>
        <v>0</v>
      </c>
    </row>
    <row r="9" spans="4:10" ht="12.75">
      <c r="D9" s="33"/>
      <c r="G9" s="33"/>
      <c r="H9" s="33"/>
      <c r="I9" s="33"/>
      <c r="J9" s="34">
        <f t="shared" si="0"/>
        <v>0</v>
      </c>
    </row>
    <row r="10" spans="4:10" ht="12.75">
      <c r="D10" s="33"/>
      <c r="G10" s="33"/>
      <c r="H10" s="33"/>
      <c r="I10" s="33"/>
      <c r="J10" s="34">
        <f t="shared" si="0"/>
        <v>0</v>
      </c>
    </row>
    <row r="11" ht="12.75">
      <c r="D11" s="33"/>
    </row>
    <row r="12" ht="12.75">
      <c r="D12" s="33"/>
    </row>
    <row r="13" ht="12.75">
      <c r="D13" s="33"/>
    </row>
    <row r="14" ht="12.75">
      <c r="D14" s="33"/>
    </row>
    <row r="15" ht="12.75">
      <c r="D15" s="33"/>
    </row>
    <row r="16" ht="12.75">
      <c r="D16" s="33"/>
    </row>
    <row r="17" ht="12.75">
      <c r="D17" s="33"/>
    </row>
    <row r="18" ht="12.75">
      <c r="D18" s="33"/>
    </row>
    <row r="19" ht="12.75">
      <c r="D19" s="33"/>
    </row>
    <row r="20" ht="12.75">
      <c r="D20" s="33"/>
    </row>
    <row r="21" ht="12.75">
      <c r="D21" s="33"/>
    </row>
    <row r="22" ht="12.75">
      <c r="D22" s="33"/>
    </row>
    <row r="23" ht="12.75">
      <c r="D23" s="33"/>
    </row>
    <row r="26" ht="12.75">
      <c r="G26" s="1"/>
    </row>
    <row r="27" ht="12.75">
      <c r="G27" s="1"/>
    </row>
    <row r="52" ht="12.75">
      <c r="G52" s="1"/>
    </row>
  </sheetData>
  <sheetProtection/>
  <printOptions/>
  <pageMargins left="0.57" right="0.46" top="0.78" bottom="0.79" header="0.38" footer="0.5"/>
  <pageSetup orientation="landscape" paperSize="11" r:id="rId2"/>
  <headerFooter alignWithMargins="0">
    <oddHeader>&amp;CКаса за &amp;F&amp;RТОВ"Автопневмотех"
Код за ЄДРПОУ 25163861</oddHeader>
    <oddFooter>&amp;RСтор.&amp;P
Всього &amp;Nстор.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1"/>
  <dimension ref="A1:J2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8.00390625" style="0" customWidth="1"/>
    <col min="2" max="5" width="8.625" style="1" customWidth="1"/>
    <col min="6" max="6" width="8.625" style="1" hidden="1" customWidth="1"/>
    <col min="7" max="8" width="8.625" style="1" customWidth="1"/>
    <col min="11" max="12" width="9.125" style="1" customWidth="1"/>
  </cols>
  <sheetData>
    <row r="1" spans="1:8" ht="44.25" customHeight="1">
      <c r="A1" t="s">
        <v>12</v>
      </c>
      <c r="B1" s="1" t="s">
        <v>13</v>
      </c>
      <c r="C1" s="1" t="s">
        <v>14</v>
      </c>
      <c r="D1" s="38" t="s">
        <v>5</v>
      </c>
      <c r="E1" s="45" t="s">
        <v>6</v>
      </c>
      <c r="F1" s="45" t="s">
        <v>18</v>
      </c>
      <c r="G1" s="45" t="s">
        <v>13</v>
      </c>
      <c r="H1" s="45" t="s">
        <v>14</v>
      </c>
    </row>
    <row r="2" spans="1:10" ht="12.75">
      <c r="A2" t="s">
        <v>77</v>
      </c>
      <c r="C2" s="1">
        <v>0</v>
      </c>
      <c r="D2" s="46"/>
      <c r="E2" s="1">
        <f>SUMIF('приб372 '!B:B,A2,'приб372 '!E:E)</f>
        <v>100</v>
      </c>
      <c r="F2" s="1">
        <f>SUM(C2+E2-B2-D2)</f>
        <v>100</v>
      </c>
      <c r="G2" s="1">
        <f>IF(F2&lt;0,-F2,0)</f>
        <v>0</v>
      </c>
      <c r="H2" s="1">
        <f>IF(F2&gt;0,F2,0)</f>
        <v>100</v>
      </c>
      <c r="I2" s="1" t="s">
        <v>13</v>
      </c>
      <c r="J2" s="1">
        <f>SUM(B:B)</f>
        <v>0</v>
      </c>
    </row>
    <row r="3" spans="3:10" ht="12.75">
      <c r="C3" s="1">
        <v>0</v>
      </c>
      <c r="D3" s="46"/>
      <c r="E3" s="1">
        <f>SUMIF('приб372 '!B:B,A3,'приб372 '!E:E)</f>
        <v>0</v>
      </c>
      <c r="F3" s="1">
        <f>SUM(C3+E3-B3-D3)</f>
        <v>0</v>
      </c>
      <c r="G3" s="1">
        <f>IF(F3&lt;0,-F3,0)</f>
        <v>0</v>
      </c>
      <c r="H3" s="1">
        <f>IF(F3&gt;0,F3,0)</f>
        <v>0</v>
      </c>
      <c r="I3" s="1" t="s">
        <v>14</v>
      </c>
      <c r="J3" s="1">
        <f>SUM(C:C)</f>
        <v>0</v>
      </c>
    </row>
    <row r="4" spans="6:10" ht="12.75">
      <c r="F4" s="1">
        <f aca="true" t="shared" si="0" ref="F4:F23">SUM(C4+E4-B4-D4)</f>
        <v>0</v>
      </c>
      <c r="I4" s="1" t="s">
        <v>5</v>
      </c>
      <c r="J4" s="1">
        <f>SUM(D:D)</f>
        <v>0</v>
      </c>
    </row>
    <row r="5" spans="6:10" ht="12.75">
      <c r="F5" s="1">
        <f t="shared" si="0"/>
        <v>0</v>
      </c>
      <c r="I5" s="1" t="s">
        <v>6</v>
      </c>
      <c r="J5" s="1">
        <f>SUM(E:E)</f>
        <v>100</v>
      </c>
    </row>
    <row r="6" spans="6:10" ht="12.75">
      <c r="F6" s="1">
        <f t="shared" si="0"/>
        <v>0</v>
      </c>
      <c r="I6" s="1" t="s">
        <v>13</v>
      </c>
      <c r="J6" s="1">
        <f>SUM(G:G)</f>
        <v>0</v>
      </c>
    </row>
    <row r="7" spans="6:10" ht="12.75">
      <c r="F7" s="1">
        <f t="shared" si="0"/>
        <v>0</v>
      </c>
      <c r="I7" s="1" t="s">
        <v>14</v>
      </c>
      <c r="J7" s="1">
        <f>SUM(H:H)</f>
        <v>100</v>
      </c>
    </row>
    <row r="8" ht="12.75">
      <c r="F8" s="1">
        <f t="shared" si="0"/>
        <v>0</v>
      </c>
    </row>
    <row r="9" ht="12.75">
      <c r="F9" s="1">
        <f t="shared" si="0"/>
        <v>0</v>
      </c>
    </row>
    <row r="10" ht="12.75">
      <c r="F10" s="1">
        <f t="shared" si="0"/>
        <v>0</v>
      </c>
    </row>
    <row r="11" ht="12.75">
      <c r="F11" s="1">
        <f t="shared" si="0"/>
        <v>0</v>
      </c>
    </row>
    <row r="12" ht="12.75">
      <c r="F12" s="1">
        <f t="shared" si="0"/>
        <v>0</v>
      </c>
    </row>
    <row r="13" ht="12.75">
      <c r="F13" s="1">
        <f t="shared" si="0"/>
        <v>0</v>
      </c>
    </row>
    <row r="14" ht="12.75">
      <c r="F14" s="1">
        <f t="shared" si="0"/>
        <v>0</v>
      </c>
    </row>
    <row r="15" ht="12.75">
      <c r="F15" s="1">
        <f t="shared" si="0"/>
        <v>0</v>
      </c>
    </row>
    <row r="16" ht="12.75">
      <c r="F16" s="1">
        <f t="shared" si="0"/>
        <v>0</v>
      </c>
    </row>
    <row r="17" ht="12.75">
      <c r="F17" s="1">
        <f t="shared" si="0"/>
        <v>0</v>
      </c>
    </row>
    <row r="18" ht="12.75">
      <c r="F18" s="1">
        <f t="shared" si="0"/>
        <v>0</v>
      </c>
    </row>
    <row r="19" ht="12.75">
      <c r="F19" s="1">
        <f t="shared" si="0"/>
        <v>0</v>
      </c>
    </row>
    <row r="20" ht="12.75">
      <c r="F20" s="1">
        <f t="shared" si="0"/>
        <v>0</v>
      </c>
    </row>
    <row r="21" ht="12.75">
      <c r="F21" s="1">
        <f t="shared" si="0"/>
        <v>0</v>
      </c>
    </row>
    <row r="22" ht="12.75">
      <c r="F22" s="1">
        <f t="shared" si="0"/>
        <v>0</v>
      </c>
    </row>
    <row r="23" ht="12.75">
      <c r="F23" s="1">
        <f t="shared" si="0"/>
        <v>0</v>
      </c>
    </row>
  </sheetData>
  <sheetProtection/>
  <printOptions/>
  <pageMargins left="0.95" right="0.5118110236220472" top="1.8" bottom="1.36" header="0.83" footer="0.74"/>
  <pageSetup orientation="portrait" paperSize="9" r:id="rId2"/>
  <headerFooter alignWithMargins="0">
    <oddHeader>&amp;CПідзвіт за &amp;F&amp;RТОВ"Автопневмотех"
Код за ЄДРПОУ 25163861</oddHeader>
    <oddFooter>&amp;RСтор.&amp;P
Всього &amp;Nстор.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I1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50390625" style="0" bestFit="1" customWidth="1"/>
    <col min="2" max="2" width="23.625" style="0" customWidth="1"/>
    <col min="3" max="3" width="21.625" style="15" customWidth="1"/>
    <col min="4" max="4" width="4.875" style="0" customWidth="1"/>
    <col min="5" max="5" width="9.125" style="1" customWidth="1"/>
    <col min="6" max="6" width="5.875" style="1" customWidth="1"/>
    <col min="8" max="8" width="5.50390625" style="0" customWidth="1"/>
  </cols>
  <sheetData>
    <row r="1" spans="1:9" ht="45.75" customHeight="1">
      <c r="A1" t="s">
        <v>23</v>
      </c>
      <c r="B1" t="s">
        <v>12</v>
      </c>
      <c r="C1" s="15" t="s">
        <v>201</v>
      </c>
      <c r="D1" t="s">
        <v>10</v>
      </c>
      <c r="E1" s="1" t="s">
        <v>6</v>
      </c>
      <c r="H1" s="19" t="s">
        <v>22</v>
      </c>
      <c r="I1" s="1">
        <f>SUM(I3:I15)</f>
        <v>100</v>
      </c>
    </row>
    <row r="2" spans="1:9" ht="26.25">
      <c r="A2">
        <v>1</v>
      </c>
      <c r="B2" t="s">
        <v>77</v>
      </c>
      <c r="C2" s="15" t="s">
        <v>293</v>
      </c>
      <c r="D2">
        <v>92</v>
      </c>
      <c r="E2" s="1">
        <v>100</v>
      </c>
      <c r="F2" s="19" t="s">
        <v>19</v>
      </c>
      <c r="I2" t="s">
        <v>21</v>
      </c>
    </row>
    <row r="3" spans="6:9" ht="12.75">
      <c r="F3" s="1" t="s">
        <v>15</v>
      </c>
      <c r="G3" s="4">
        <v>1</v>
      </c>
      <c r="H3">
        <v>23</v>
      </c>
      <c r="I3" s="1">
        <f aca="true" t="shared" si="0" ref="I3:I11">SUMIF(D$1:D$65536,H3,E$1:E$65536)</f>
        <v>0</v>
      </c>
    </row>
    <row r="4" spans="6:9" ht="12.75">
      <c r="F4" s="1" t="s">
        <v>20</v>
      </c>
      <c r="G4" s="1">
        <f>SUMIF(A:A,G3,E:E)</f>
        <v>100</v>
      </c>
      <c r="H4">
        <v>92</v>
      </c>
      <c r="I4" s="1">
        <f t="shared" si="0"/>
        <v>100</v>
      </c>
    </row>
    <row r="5" spans="8:9" ht="12.75">
      <c r="H5">
        <v>209</v>
      </c>
      <c r="I5" s="1">
        <f t="shared" si="0"/>
        <v>0</v>
      </c>
    </row>
    <row r="6" spans="8:9" ht="12.75">
      <c r="H6">
        <v>6411</v>
      </c>
      <c r="I6" s="1">
        <f t="shared" si="0"/>
        <v>0</v>
      </c>
    </row>
    <row r="7" spans="8:9" ht="12.75">
      <c r="H7">
        <v>94</v>
      </c>
      <c r="I7" s="1">
        <f t="shared" si="0"/>
        <v>0</v>
      </c>
    </row>
    <row r="8" spans="8:9" ht="12.75">
      <c r="H8">
        <v>203</v>
      </c>
      <c r="I8" s="1">
        <f t="shared" si="0"/>
        <v>0</v>
      </c>
    </row>
    <row r="9" spans="8:9" ht="12.75">
      <c r="H9">
        <v>10</v>
      </c>
      <c r="I9" s="1">
        <f t="shared" si="0"/>
        <v>0</v>
      </c>
    </row>
    <row r="10" spans="8:9" ht="12.75">
      <c r="H10">
        <v>231</v>
      </c>
      <c r="I10" s="1">
        <f t="shared" si="0"/>
        <v>0</v>
      </c>
    </row>
    <row r="11" spans="8:9" ht="12.75">
      <c r="H11">
        <v>112</v>
      </c>
      <c r="I11" s="1">
        <f t="shared" si="0"/>
        <v>0</v>
      </c>
    </row>
    <row r="12" ht="12.75">
      <c r="I12" s="1"/>
    </row>
    <row r="13" ht="12.75">
      <c r="I13" s="1"/>
    </row>
    <row r="14" ht="12.75">
      <c r="I14" s="1"/>
    </row>
  </sheetData>
  <sheetProtection/>
  <printOptions/>
  <pageMargins left="0.42" right="0.35433070866141736" top="0.7874015748031497" bottom="0.7874015748031497" header="0.35433070866141736" footer="0.35433070866141736"/>
  <pageSetup orientation="portrait" paperSize="9" r:id="rId2"/>
  <headerFooter alignWithMargins="0">
    <oddHeader>&amp;CКредит рах.372 за &amp;F&amp;RТОВ"Автопневмотех"
Код за ЄДРПОУ 25163861</oddHeader>
    <oddFooter>&amp;RСтор.&amp;P
Всього &amp;Nстор.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K28"/>
  <sheetViews>
    <sheetView zoomScalePageLayoutView="0" workbookViewId="0" topLeftCell="A1">
      <pane xSplit="3" ySplit="10" topLeftCell="D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"/>
    </sheetView>
  </sheetViews>
  <sheetFormatPr defaultColWidth="9.00390625" defaultRowHeight="12.75"/>
  <cols>
    <col min="1" max="1" width="25.625" style="0" bestFit="1" customWidth="1"/>
    <col min="2" max="2" width="9.00390625" style="1" customWidth="1"/>
    <col min="3" max="4" width="9.50390625" style="1" bestFit="1" customWidth="1"/>
    <col min="5" max="6" width="9.125" style="1" customWidth="1"/>
    <col min="7" max="7" width="8.875" style="1" customWidth="1"/>
    <col min="8" max="8" width="9.125" style="1" customWidth="1"/>
    <col min="9" max="9" width="9.50390625" style="1" bestFit="1" customWidth="1"/>
    <col min="11" max="11" width="9.50390625" style="0" bestFit="1" customWidth="1"/>
    <col min="12" max="13" width="9.125" style="1" customWidth="1"/>
  </cols>
  <sheetData>
    <row r="1" spans="1:9" ht="36.75" customHeight="1">
      <c r="A1" t="s">
        <v>24</v>
      </c>
      <c r="B1" s="1" t="s">
        <v>13</v>
      </c>
      <c r="C1" s="1" t="s">
        <v>14</v>
      </c>
      <c r="D1" s="1" t="s">
        <v>0</v>
      </c>
      <c r="E1" s="1" t="s">
        <v>200</v>
      </c>
      <c r="F1" s="1" t="s">
        <v>6</v>
      </c>
      <c r="G1" s="1" t="s">
        <v>18</v>
      </c>
      <c r="H1" s="1" t="s">
        <v>13</v>
      </c>
      <c r="I1" s="1" t="s">
        <v>14</v>
      </c>
    </row>
    <row r="2" spans="1:11" ht="12.75">
      <c r="A2" s="2" t="s">
        <v>239</v>
      </c>
      <c r="B2" s="1">
        <v>0</v>
      </c>
      <c r="C2" s="1">
        <v>0</v>
      </c>
      <c r="D2" s="1">
        <f>SUMIF('311'!C:C,A:A,'311'!F:F)</f>
        <v>0</v>
      </c>
      <c r="F2" s="1">
        <f>SUMIF(приб631!B:B,A:A,приб631!E:E)</f>
        <v>0</v>
      </c>
      <c r="G2" s="1">
        <f aca="true" t="shared" si="0" ref="G2:G28">SUM(F2+C2-B2-D2-E2)</f>
        <v>0</v>
      </c>
      <c r="H2" s="1">
        <f aca="true" t="shared" si="1" ref="H2:H28">IF(G2&lt;0,-G2,0)</f>
        <v>0</v>
      </c>
      <c r="I2" s="1">
        <f aca="true" t="shared" si="2" ref="I2:I28">IF(G2&gt;0,G2,0)</f>
        <v>0</v>
      </c>
      <c r="J2" s="1" t="s">
        <v>13</v>
      </c>
      <c r="K2" s="1">
        <f>SUM(B:B)</f>
        <v>0</v>
      </c>
    </row>
    <row r="3" spans="1:11" ht="12.75">
      <c r="A3" s="2" t="s">
        <v>224</v>
      </c>
      <c r="B3" s="1">
        <v>0</v>
      </c>
      <c r="C3" s="1">
        <v>0</v>
      </c>
      <c r="D3" s="1">
        <f>SUMIF('311'!C:C,A:A,'311'!F:F)</f>
        <v>300</v>
      </c>
      <c r="F3" s="1">
        <f>SUMIF(приб631!B:B,A:A,приб631!E:E)</f>
        <v>300</v>
      </c>
      <c r="G3" s="1">
        <f t="shared" si="0"/>
        <v>0</v>
      </c>
      <c r="H3" s="1">
        <f t="shared" si="1"/>
        <v>0</v>
      </c>
      <c r="I3" s="1">
        <f t="shared" si="2"/>
        <v>0</v>
      </c>
      <c r="J3" s="1" t="s">
        <v>14</v>
      </c>
      <c r="K3" s="1">
        <f>SUM(C:C)</f>
        <v>0</v>
      </c>
    </row>
    <row r="4" spans="1:11" ht="12.75">
      <c r="A4" s="2" t="s">
        <v>249</v>
      </c>
      <c r="B4" s="1">
        <v>0</v>
      </c>
      <c r="C4" s="1">
        <v>0</v>
      </c>
      <c r="D4" s="1">
        <f>SUMIF('311'!C:C,A:A,'311'!F:F)</f>
        <v>0</v>
      </c>
      <c r="F4" s="1">
        <f>SUMIF(приб631!B:B,A:A,приб631!E:E)</f>
        <v>0</v>
      </c>
      <c r="G4" s="1">
        <f t="shared" si="0"/>
        <v>0</v>
      </c>
      <c r="H4" s="1">
        <f t="shared" si="1"/>
        <v>0</v>
      </c>
      <c r="I4" s="1">
        <f t="shared" si="2"/>
        <v>0</v>
      </c>
      <c r="J4" s="1" t="s">
        <v>0</v>
      </c>
      <c r="K4" s="1">
        <f>SUM(D:D)</f>
        <v>300</v>
      </c>
    </row>
    <row r="5" spans="1:11" ht="12.75">
      <c r="A5" s="2" t="s">
        <v>285</v>
      </c>
      <c r="B5" s="1">
        <v>0</v>
      </c>
      <c r="C5" s="1">
        <v>0</v>
      </c>
      <c r="D5" s="1">
        <f>SUMIF('311'!C:C,A:A,'311'!F:F)</f>
        <v>0</v>
      </c>
      <c r="F5" s="1">
        <f>SUMIF(приб631!B:B,A:A,приб631!E:E)</f>
        <v>0</v>
      </c>
      <c r="G5" s="1">
        <f t="shared" si="0"/>
        <v>0</v>
      </c>
      <c r="H5" s="1">
        <f t="shared" si="1"/>
        <v>0</v>
      </c>
      <c r="I5" s="1">
        <f t="shared" si="2"/>
        <v>0</v>
      </c>
      <c r="J5" s="1" t="s">
        <v>200</v>
      </c>
      <c r="K5" s="1">
        <f>SUM(E:E)</f>
        <v>0</v>
      </c>
    </row>
    <row r="6" spans="1:11" ht="12.75">
      <c r="A6" s="2" t="s">
        <v>255</v>
      </c>
      <c r="B6" s="1">
        <v>0</v>
      </c>
      <c r="C6" s="1">
        <v>0</v>
      </c>
      <c r="D6" s="1">
        <f>SUMIF('311'!C:C,A:A,'311'!F:F)</f>
        <v>0</v>
      </c>
      <c r="F6" s="1">
        <f>SUMIF(приб631!B:B,A:A,приб631!E:E)</f>
        <v>0</v>
      </c>
      <c r="G6" s="1">
        <f t="shared" si="0"/>
        <v>0</v>
      </c>
      <c r="H6" s="1">
        <f t="shared" si="1"/>
        <v>0</v>
      </c>
      <c r="I6" s="1">
        <f t="shared" si="2"/>
        <v>0</v>
      </c>
      <c r="J6" t="s">
        <v>16</v>
      </c>
      <c r="K6" s="1">
        <f>SUM(K4:K5)</f>
        <v>300</v>
      </c>
    </row>
    <row r="7" spans="1:11" ht="12.75">
      <c r="A7" t="s">
        <v>286</v>
      </c>
      <c r="B7" s="1">
        <v>0</v>
      </c>
      <c r="C7" s="1">
        <v>0</v>
      </c>
      <c r="D7" s="1">
        <f>SUMIF('311'!C:C,A:A,'311'!F:F)</f>
        <v>0</v>
      </c>
      <c r="F7" s="1">
        <f>SUMIF(приб631!B:B,A:A,приб631!E:E)</f>
        <v>0</v>
      </c>
      <c r="G7" s="1">
        <f t="shared" si="0"/>
        <v>0</v>
      </c>
      <c r="H7" s="1">
        <f t="shared" si="1"/>
        <v>0</v>
      </c>
      <c r="I7" s="1">
        <f t="shared" si="2"/>
        <v>0</v>
      </c>
      <c r="J7" s="1" t="s">
        <v>6</v>
      </c>
      <c r="K7" s="1">
        <f>SUM(F:F)</f>
        <v>300</v>
      </c>
    </row>
    <row r="8" spans="1:11" ht="12.75">
      <c r="A8" s="2" t="s">
        <v>289</v>
      </c>
      <c r="B8" s="1">
        <v>0</v>
      </c>
      <c r="C8" s="1">
        <v>0</v>
      </c>
      <c r="D8" s="1">
        <f>SUMIF('311'!C:C,A:A,'311'!F:F)</f>
        <v>0</v>
      </c>
      <c r="F8" s="1">
        <f>SUMIF(приб631!B:B,A:A,приб631!E:E)</f>
        <v>0</v>
      </c>
      <c r="G8" s="1">
        <f t="shared" si="0"/>
        <v>0</v>
      </c>
      <c r="H8" s="1">
        <f t="shared" si="1"/>
        <v>0</v>
      </c>
      <c r="I8" s="1">
        <f t="shared" si="2"/>
        <v>0</v>
      </c>
      <c r="J8" s="1" t="s">
        <v>13</v>
      </c>
      <c r="K8" s="1">
        <f>SUM(H:H)</f>
        <v>0</v>
      </c>
    </row>
    <row r="9" spans="1:11" ht="12.75">
      <c r="A9" s="2" t="s">
        <v>241</v>
      </c>
      <c r="B9" s="1">
        <v>0</v>
      </c>
      <c r="C9" s="1">
        <v>0</v>
      </c>
      <c r="D9" s="1">
        <f>SUMIF('311'!C:C,A:A,'311'!F:F)</f>
        <v>0</v>
      </c>
      <c r="F9" s="1">
        <f>SUMIF(приб631!B:B,A:A,приб631!E:E)</f>
        <v>0</v>
      </c>
      <c r="G9" s="1">
        <f t="shared" si="0"/>
        <v>0</v>
      </c>
      <c r="H9" s="1">
        <f t="shared" si="1"/>
        <v>0</v>
      </c>
      <c r="I9" s="1">
        <f t="shared" si="2"/>
        <v>0</v>
      </c>
      <c r="J9" s="1" t="s">
        <v>14</v>
      </c>
      <c r="K9" s="1">
        <f>SUM(I:I)</f>
        <v>0</v>
      </c>
    </row>
    <row r="10" spans="1:9" ht="12.75">
      <c r="A10" s="2" t="s">
        <v>123</v>
      </c>
      <c r="B10" s="1">
        <v>0</v>
      </c>
      <c r="C10" s="1">
        <v>0</v>
      </c>
      <c r="D10" s="1">
        <f>SUMIF('311'!C:C,A:A,'311'!F:F)</f>
        <v>0</v>
      </c>
      <c r="F10" s="1">
        <f>SUMIF(приб631!B:B,A:A,приб631!E:E)</f>
        <v>0</v>
      </c>
      <c r="G10" s="1">
        <f t="shared" si="0"/>
        <v>0</v>
      </c>
      <c r="H10" s="1">
        <f t="shared" si="1"/>
        <v>0</v>
      </c>
      <c r="I10" s="1">
        <f t="shared" si="2"/>
        <v>0</v>
      </c>
    </row>
    <row r="11" spans="1:9" ht="12.75">
      <c r="A11" t="s">
        <v>81</v>
      </c>
      <c r="B11" s="1">
        <v>0</v>
      </c>
      <c r="C11" s="1">
        <v>0</v>
      </c>
      <c r="D11" s="1">
        <f>SUMIF('311'!C:C,A:A,'311'!F:F)</f>
        <v>0</v>
      </c>
      <c r="F11" s="1">
        <f>SUMIF(приб631!B:B,A:A,приб631!E:E)</f>
        <v>0</v>
      </c>
      <c r="G11" s="1">
        <f t="shared" si="0"/>
        <v>0</v>
      </c>
      <c r="H11" s="1">
        <f t="shared" si="1"/>
        <v>0</v>
      </c>
      <c r="I11" s="1">
        <f t="shared" si="2"/>
        <v>0</v>
      </c>
    </row>
    <row r="12" spans="1:9" ht="12.75">
      <c r="A12" s="2" t="s">
        <v>238</v>
      </c>
      <c r="B12" s="1">
        <v>0</v>
      </c>
      <c r="C12" s="1">
        <v>0</v>
      </c>
      <c r="D12" s="1">
        <f>SUMIF('311'!C:C,A:A,'311'!F:F)</f>
        <v>0</v>
      </c>
      <c r="F12" s="1">
        <f>SUMIF(приб631!B:B,A:A,приб631!E:E)</f>
        <v>0</v>
      </c>
      <c r="G12" s="1">
        <f t="shared" si="0"/>
        <v>0</v>
      </c>
      <c r="H12" s="1">
        <f t="shared" si="1"/>
        <v>0</v>
      </c>
      <c r="I12" s="1">
        <f t="shared" si="2"/>
        <v>0</v>
      </c>
    </row>
    <row r="13" spans="1:9" ht="12.75">
      <c r="A13" t="s">
        <v>184</v>
      </c>
      <c r="B13" s="1">
        <v>0</v>
      </c>
      <c r="C13" s="1">
        <v>0</v>
      </c>
      <c r="D13" s="1">
        <f>SUMIF('311'!C:C,A:A,'311'!F:F)</f>
        <v>0</v>
      </c>
      <c r="F13" s="1">
        <f>SUMIF(приб631!B:B,A:A,приб631!E:E)</f>
        <v>0</v>
      </c>
      <c r="G13" s="1">
        <f t="shared" si="0"/>
        <v>0</v>
      </c>
      <c r="H13" s="1">
        <f t="shared" si="1"/>
        <v>0</v>
      </c>
      <c r="I13" s="1">
        <f t="shared" si="2"/>
        <v>0</v>
      </c>
    </row>
    <row r="14" spans="1:9" ht="12.75">
      <c r="A14" s="2" t="s">
        <v>231</v>
      </c>
      <c r="B14" s="1">
        <v>0</v>
      </c>
      <c r="C14" s="1">
        <v>0</v>
      </c>
      <c r="D14" s="1">
        <f>SUMIF('311'!C:C,A:A,'311'!F:F)</f>
        <v>0</v>
      </c>
      <c r="F14" s="1">
        <f>SUMIF(приб631!B:B,A:A,приб631!E:E)</f>
        <v>0</v>
      </c>
      <c r="G14" s="1">
        <f t="shared" si="0"/>
        <v>0</v>
      </c>
      <c r="H14" s="1">
        <f t="shared" si="1"/>
        <v>0</v>
      </c>
      <c r="I14" s="1">
        <f t="shared" si="2"/>
        <v>0</v>
      </c>
    </row>
    <row r="15" spans="1:9" ht="12.75">
      <c r="A15" s="2" t="s">
        <v>271</v>
      </c>
      <c r="B15" s="1">
        <v>0</v>
      </c>
      <c r="C15" s="1">
        <v>0</v>
      </c>
      <c r="D15" s="1">
        <f>SUMIF('311'!C:C,A:A,'311'!F:F)</f>
        <v>0</v>
      </c>
      <c r="F15" s="1">
        <f>SUMIF(приб631!B:B,A:A,приб631!E:E)</f>
        <v>0</v>
      </c>
      <c r="G15" s="1">
        <f t="shared" si="0"/>
        <v>0</v>
      </c>
      <c r="H15" s="1">
        <f t="shared" si="1"/>
        <v>0</v>
      </c>
      <c r="I15" s="1">
        <f t="shared" si="2"/>
        <v>0</v>
      </c>
    </row>
    <row r="16" spans="1:9" ht="12.75">
      <c r="A16" s="2" t="s">
        <v>247</v>
      </c>
      <c r="B16" s="1">
        <v>0</v>
      </c>
      <c r="C16" s="1">
        <v>0</v>
      </c>
      <c r="D16" s="1">
        <f>SUMIF('311'!C:C,A:A,'311'!F:F)</f>
        <v>0</v>
      </c>
      <c r="F16" s="1">
        <f>SUMIF(приб631!B:B,A:A,приб631!E:E)</f>
        <v>0</v>
      </c>
      <c r="G16" s="1">
        <f t="shared" si="0"/>
        <v>0</v>
      </c>
      <c r="H16" s="1">
        <f t="shared" si="1"/>
        <v>0</v>
      </c>
      <c r="I16" s="1">
        <f t="shared" si="2"/>
        <v>0</v>
      </c>
    </row>
    <row r="17" spans="1:9" ht="12.75">
      <c r="A17" t="s">
        <v>79</v>
      </c>
      <c r="B17" s="1">
        <v>0</v>
      </c>
      <c r="C17" s="1">
        <v>0</v>
      </c>
      <c r="D17" s="1">
        <f>SUMIF('311'!C:C,A:A,'311'!F:F)</f>
        <v>0</v>
      </c>
      <c r="F17" s="1">
        <f>SUMIF(приб631!B:B,A:A,приб631!E:E)</f>
        <v>0</v>
      </c>
      <c r="G17" s="1">
        <f t="shared" si="0"/>
        <v>0</v>
      </c>
      <c r="H17" s="1">
        <f t="shared" si="1"/>
        <v>0</v>
      </c>
      <c r="I17" s="1">
        <f t="shared" si="2"/>
        <v>0</v>
      </c>
    </row>
    <row r="18" spans="1:9" ht="12.75">
      <c r="A18" s="2" t="s">
        <v>237</v>
      </c>
      <c r="B18" s="1">
        <v>0</v>
      </c>
      <c r="C18" s="1">
        <v>0</v>
      </c>
      <c r="D18" s="1">
        <f>SUMIF('311'!C:C,A:A,'311'!F:F)</f>
        <v>0</v>
      </c>
      <c r="F18" s="1">
        <f>SUMIF(приб631!B:B,A:A,приб631!E:E)</f>
        <v>0</v>
      </c>
      <c r="G18" s="1">
        <f t="shared" si="0"/>
        <v>0</v>
      </c>
      <c r="H18" s="1">
        <f t="shared" si="1"/>
        <v>0</v>
      </c>
      <c r="I18" s="1">
        <f t="shared" si="2"/>
        <v>0</v>
      </c>
    </row>
    <row r="19" spans="1:9" ht="12.75">
      <c r="A19" t="s">
        <v>182</v>
      </c>
      <c r="B19" s="1">
        <v>0</v>
      </c>
      <c r="C19" s="1">
        <v>0</v>
      </c>
      <c r="D19" s="1">
        <f>SUMIF('311'!C:C,A:A,'311'!F:F)</f>
        <v>0</v>
      </c>
      <c r="F19" s="1">
        <f>SUMIF(приб631!B:B,A:A,приб631!E:E)</f>
        <v>0</v>
      </c>
      <c r="G19" s="1">
        <f t="shared" si="0"/>
        <v>0</v>
      </c>
      <c r="H19" s="1">
        <f t="shared" si="1"/>
        <v>0</v>
      </c>
      <c r="I19" s="1">
        <f t="shared" si="2"/>
        <v>0</v>
      </c>
    </row>
    <row r="20" spans="1:9" ht="12.75">
      <c r="A20" s="2" t="s">
        <v>80</v>
      </c>
      <c r="B20" s="1">
        <v>0</v>
      </c>
      <c r="C20" s="1">
        <v>0</v>
      </c>
      <c r="D20" s="1">
        <f>SUMIF('311'!C:C,A:A,'311'!F:F)</f>
        <v>0</v>
      </c>
      <c r="F20" s="1">
        <f>SUMIF(приб631!B:B,A:A,приб631!E:E)</f>
        <v>0</v>
      </c>
      <c r="G20" s="1">
        <f t="shared" si="0"/>
        <v>0</v>
      </c>
      <c r="H20" s="1">
        <f t="shared" si="1"/>
        <v>0</v>
      </c>
      <c r="I20" s="1">
        <f t="shared" si="2"/>
        <v>0</v>
      </c>
    </row>
    <row r="21" spans="1:9" ht="12.75">
      <c r="A21" s="2" t="s">
        <v>236</v>
      </c>
      <c r="B21" s="1">
        <v>0</v>
      </c>
      <c r="C21" s="1">
        <v>0</v>
      </c>
      <c r="D21" s="1">
        <f>SUMIF('311'!C:C,A:A,'311'!F:F)</f>
        <v>0</v>
      </c>
      <c r="F21" s="1">
        <f>SUMIF(приб631!B:B,A:A,приб631!E:E)</f>
        <v>0</v>
      </c>
      <c r="G21" s="1">
        <f t="shared" si="0"/>
        <v>0</v>
      </c>
      <c r="H21" s="1">
        <f t="shared" si="1"/>
        <v>0</v>
      </c>
      <c r="I21" s="1">
        <f t="shared" si="2"/>
        <v>0</v>
      </c>
    </row>
    <row r="22" spans="1:9" ht="12.75">
      <c r="A22" s="2" t="s">
        <v>248</v>
      </c>
      <c r="B22" s="1">
        <v>0</v>
      </c>
      <c r="C22" s="1">
        <v>0</v>
      </c>
      <c r="D22" s="1">
        <f>SUMIF('311'!C:C,A:A,'311'!F:F)</f>
        <v>0</v>
      </c>
      <c r="F22" s="1">
        <f>SUMIF(приб631!B:B,A:A,приб631!E:E)</f>
        <v>0</v>
      </c>
      <c r="G22" s="1">
        <f t="shared" si="0"/>
        <v>0</v>
      </c>
      <c r="H22" s="1">
        <f t="shared" si="1"/>
        <v>0</v>
      </c>
      <c r="I22" s="1">
        <f t="shared" si="2"/>
        <v>0</v>
      </c>
    </row>
    <row r="23" spans="1:9" ht="12.75">
      <c r="A23" s="2" t="s">
        <v>245</v>
      </c>
      <c r="B23" s="1">
        <v>0</v>
      </c>
      <c r="C23" s="1">
        <v>0</v>
      </c>
      <c r="D23" s="1">
        <f>SUMIF('311'!C:C,A:A,'311'!F:F)</f>
        <v>0</v>
      </c>
      <c r="F23" s="1">
        <f>SUMIF(приб631!B:B,A:A,приб631!E:E)</f>
        <v>0</v>
      </c>
      <c r="G23" s="1">
        <f t="shared" si="0"/>
        <v>0</v>
      </c>
      <c r="H23" s="1">
        <f t="shared" si="1"/>
        <v>0</v>
      </c>
      <c r="I23" s="1">
        <f t="shared" si="2"/>
        <v>0</v>
      </c>
    </row>
    <row r="24" spans="1:9" ht="12.75">
      <c r="A24" s="2" t="s">
        <v>230</v>
      </c>
      <c r="B24" s="1">
        <v>0</v>
      </c>
      <c r="C24" s="1">
        <v>0</v>
      </c>
      <c r="D24" s="1">
        <f>SUMIF('311'!C:C,A:A,'311'!F:F)</f>
        <v>0</v>
      </c>
      <c r="F24" s="1">
        <f>SUMIF(приб631!B:B,A:A,приб631!E:E)</f>
        <v>0</v>
      </c>
      <c r="G24" s="1">
        <f t="shared" si="0"/>
        <v>0</v>
      </c>
      <c r="H24" s="1">
        <f t="shared" si="1"/>
        <v>0</v>
      </c>
      <c r="I24" s="1">
        <f t="shared" si="2"/>
        <v>0</v>
      </c>
    </row>
    <row r="25" spans="1:9" ht="12.75">
      <c r="A25" s="2" t="s">
        <v>266</v>
      </c>
      <c r="B25" s="1">
        <v>0</v>
      </c>
      <c r="C25" s="1">
        <v>0</v>
      </c>
      <c r="D25" s="1">
        <f>SUMIF('311'!C:C,A:A,'311'!F:F)</f>
        <v>0</v>
      </c>
      <c r="F25" s="1">
        <f>SUMIF(приб631!B:B,A:A,приб631!E:E)</f>
        <v>0</v>
      </c>
      <c r="G25" s="1">
        <f t="shared" si="0"/>
        <v>0</v>
      </c>
      <c r="H25" s="1">
        <f t="shared" si="1"/>
        <v>0</v>
      </c>
      <c r="I25" s="1">
        <f t="shared" si="2"/>
        <v>0</v>
      </c>
    </row>
    <row r="26" spans="1:9" ht="12.75">
      <c r="A26" t="s">
        <v>17</v>
      </c>
      <c r="B26" s="1">
        <v>0</v>
      </c>
      <c r="C26" s="1">
        <v>0</v>
      </c>
      <c r="D26" s="1">
        <f>SUMIF('311'!C:C,A:A,'311'!F:F)</f>
        <v>0</v>
      </c>
      <c r="F26" s="1">
        <f>SUMIF(приб631!B:B,A:A,приб631!E:E)</f>
        <v>0</v>
      </c>
      <c r="G26" s="1">
        <f t="shared" si="0"/>
        <v>0</v>
      </c>
      <c r="H26" s="1">
        <f t="shared" si="1"/>
        <v>0</v>
      </c>
      <c r="I26" s="1">
        <f t="shared" si="2"/>
        <v>0</v>
      </c>
    </row>
    <row r="27" spans="1:9" ht="12.75">
      <c r="A27" s="2" t="s">
        <v>252</v>
      </c>
      <c r="B27" s="1">
        <v>0</v>
      </c>
      <c r="C27" s="1">
        <v>0</v>
      </c>
      <c r="D27" s="1">
        <f>SUMIF('311'!C:C,A:A,'311'!F:F)</f>
        <v>0</v>
      </c>
      <c r="F27" s="1">
        <f>SUMIF(приб631!B:B,A:A,приб631!E:E)</f>
        <v>0</v>
      </c>
      <c r="G27" s="1">
        <f t="shared" si="0"/>
        <v>0</v>
      </c>
      <c r="H27" s="1">
        <f t="shared" si="1"/>
        <v>0</v>
      </c>
      <c r="I27" s="1">
        <f t="shared" si="2"/>
        <v>0</v>
      </c>
    </row>
    <row r="28" spans="1:9" ht="12.75">
      <c r="A28" s="2" t="s">
        <v>9</v>
      </c>
      <c r="B28" s="1">
        <v>0</v>
      </c>
      <c r="C28" s="1">
        <v>0</v>
      </c>
      <c r="D28" s="1">
        <f>SUMIF('311'!C:C,A:A,'311'!F:F)</f>
        <v>0</v>
      </c>
      <c r="F28" s="1">
        <f>SUMIF(приб631!B:B,A:A,приб631!E:E)</f>
        <v>0</v>
      </c>
      <c r="G28" s="1">
        <f t="shared" si="0"/>
        <v>0</v>
      </c>
      <c r="H28" s="1">
        <f t="shared" si="1"/>
        <v>0</v>
      </c>
      <c r="I28" s="1">
        <f t="shared" si="2"/>
        <v>0</v>
      </c>
    </row>
  </sheetData>
  <sheetProtection/>
  <printOptions/>
  <pageMargins left="0.89" right="0.81" top="0.91" bottom="0.78" header="0.44" footer="0.32"/>
  <pageSetup orientation="landscape" paperSize="9" r:id="rId2"/>
  <headerFooter alignWithMargins="0">
    <oddHeader>&amp;CПостачальники за &amp;F&amp;RТОВ"Автопневмотех"
Код за ЄДРПОУ 25163861</oddHeader>
    <oddFooter>&amp;RСтор.&amp;P
Всього &amp;Nстор.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4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9.125" style="6" customWidth="1"/>
    <col min="2" max="2" width="24.50390625" style="0" customWidth="1"/>
    <col min="3" max="3" width="21.00390625" style="15" customWidth="1"/>
    <col min="4" max="4" width="5.00390625" style="0" bestFit="1" customWidth="1"/>
    <col min="5" max="5" width="10.00390625" style="1" customWidth="1"/>
    <col min="6" max="6" width="7.00390625" style="0" bestFit="1" customWidth="1"/>
    <col min="8" max="8" width="7.00390625" style="0" customWidth="1"/>
  </cols>
  <sheetData>
    <row r="1" spans="1:9" ht="39.75" customHeight="1">
      <c r="A1" s="6" t="s">
        <v>26</v>
      </c>
      <c r="B1" t="s">
        <v>24</v>
      </c>
      <c r="C1" s="15" t="s">
        <v>201</v>
      </c>
      <c r="D1" t="s">
        <v>10</v>
      </c>
      <c r="E1" s="1" t="s">
        <v>6</v>
      </c>
      <c r="H1" t="s">
        <v>22</v>
      </c>
      <c r="I1" s="1">
        <f>SUM(I3:I18)</f>
        <v>300</v>
      </c>
    </row>
    <row r="2" spans="1:9" ht="12.75">
      <c r="A2" s="6" t="s">
        <v>294</v>
      </c>
      <c r="B2" s="2" t="s">
        <v>224</v>
      </c>
      <c r="C2" s="24" t="s">
        <v>296</v>
      </c>
      <c r="D2">
        <v>209</v>
      </c>
      <c r="E2" s="1">
        <v>300</v>
      </c>
      <c r="F2" s="1"/>
      <c r="G2" t="s">
        <v>295</v>
      </c>
      <c r="I2" t="s">
        <v>25</v>
      </c>
    </row>
    <row r="3" spans="2:9" ht="12.75">
      <c r="B3" s="2"/>
      <c r="C3" s="24"/>
      <c r="F3" s="1"/>
      <c r="G3" s="51" t="s">
        <v>294</v>
      </c>
      <c r="H3">
        <v>23</v>
      </c>
      <c r="I3" s="1">
        <f aca="true" t="shared" si="0" ref="I3:I18">SUMIF(D$1:D$65536,H3,E$1:E$65536)</f>
        <v>0</v>
      </c>
    </row>
    <row r="4" spans="6:9" ht="12.75">
      <c r="F4" s="1"/>
      <c r="G4" s="26">
        <f>SUMIF(A:A,G3,E:E)</f>
        <v>300</v>
      </c>
      <c r="H4">
        <v>92</v>
      </c>
      <c r="I4" s="1">
        <f t="shared" si="0"/>
        <v>0</v>
      </c>
    </row>
    <row r="5" spans="2:9" ht="12.75">
      <c r="B5" s="2"/>
      <c r="C5" s="24"/>
      <c r="H5">
        <v>203</v>
      </c>
      <c r="I5" s="1">
        <f t="shared" si="0"/>
        <v>0</v>
      </c>
    </row>
    <row r="6" spans="2:9" ht="12.75">
      <c r="B6" s="2"/>
      <c r="C6" s="24"/>
      <c r="H6">
        <v>207</v>
      </c>
      <c r="I6" s="1">
        <f t="shared" si="0"/>
        <v>0</v>
      </c>
    </row>
    <row r="7" spans="2:9" ht="12.75">
      <c r="B7" s="2"/>
      <c r="C7" s="24"/>
      <c r="H7">
        <v>281</v>
      </c>
      <c r="I7" s="1">
        <f t="shared" si="0"/>
        <v>0</v>
      </c>
    </row>
    <row r="8" spans="2:9" ht="12.75">
      <c r="B8" s="2"/>
      <c r="H8">
        <v>6411</v>
      </c>
      <c r="I8" s="1">
        <f t="shared" si="0"/>
        <v>0</v>
      </c>
    </row>
    <row r="9" spans="2:9" ht="12.75">
      <c r="B9" s="2"/>
      <c r="C9" s="24"/>
      <c r="H9">
        <v>644</v>
      </c>
      <c r="I9" s="1">
        <f t="shared" si="0"/>
        <v>0</v>
      </c>
    </row>
    <row r="10" spans="2:9" ht="12.75">
      <c r="B10" s="2"/>
      <c r="H10">
        <v>209</v>
      </c>
      <c r="I10" s="1">
        <f t="shared" si="0"/>
        <v>300</v>
      </c>
    </row>
    <row r="11" spans="2:9" ht="12.75">
      <c r="B11" s="2"/>
      <c r="H11">
        <v>311</v>
      </c>
      <c r="I11" s="1">
        <f t="shared" si="0"/>
        <v>0</v>
      </c>
    </row>
    <row r="12" spans="2:9" ht="12.75">
      <c r="B12" s="2"/>
      <c r="C12" s="24"/>
      <c r="H12">
        <v>94</v>
      </c>
      <c r="I12" s="1">
        <f t="shared" si="0"/>
        <v>0</v>
      </c>
    </row>
    <row r="13" spans="2:9" ht="12.75">
      <c r="B13" s="2"/>
      <c r="H13">
        <v>652</v>
      </c>
      <c r="I13" s="1">
        <f t="shared" si="0"/>
        <v>0</v>
      </c>
    </row>
    <row r="14" spans="2:9" ht="12.75">
      <c r="B14" s="2"/>
      <c r="H14">
        <v>10</v>
      </c>
      <c r="I14" s="1">
        <f t="shared" si="0"/>
        <v>0</v>
      </c>
    </row>
    <row r="15" spans="2:9" ht="12.75">
      <c r="B15" s="2"/>
      <c r="H15">
        <v>231</v>
      </c>
      <c r="I15" s="1">
        <f t="shared" si="0"/>
        <v>0</v>
      </c>
    </row>
    <row r="16" spans="2:9" ht="12.75">
      <c r="B16" s="2"/>
      <c r="H16">
        <v>112</v>
      </c>
      <c r="I16" s="1">
        <f t="shared" si="0"/>
        <v>0</v>
      </c>
    </row>
    <row r="17" spans="2:9" ht="12.75">
      <c r="B17" s="2"/>
      <c r="H17">
        <v>733</v>
      </c>
      <c r="I17" s="1">
        <f t="shared" si="0"/>
        <v>0</v>
      </c>
    </row>
    <row r="18" spans="2:9" ht="12.75">
      <c r="B18" s="2"/>
      <c r="H18">
        <v>44</v>
      </c>
      <c r="I18" s="1">
        <f t="shared" si="0"/>
        <v>0</v>
      </c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spans="2:6" ht="12.75">
      <c r="B31" s="2"/>
      <c r="F31" s="1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1:2" ht="12.75">
      <c r="A36" s="27"/>
      <c r="B36" s="2"/>
    </row>
    <row r="37" spans="1:2" ht="12.75">
      <c r="A37" s="27"/>
      <c r="B37" s="2"/>
    </row>
    <row r="38" ht="12.75">
      <c r="B38" s="2"/>
    </row>
    <row r="39" ht="12.75">
      <c r="B39" s="2"/>
    </row>
    <row r="40" spans="2:3" ht="12.75">
      <c r="B40" s="2"/>
      <c r="C40" s="24"/>
    </row>
    <row r="41" spans="2:3" ht="12.75">
      <c r="B41" s="2"/>
      <c r="C41" s="24"/>
    </row>
    <row r="42" spans="2:3" ht="12.75">
      <c r="B42" s="2"/>
      <c r="C42" s="24"/>
    </row>
    <row r="43" spans="2:3" ht="12.75">
      <c r="B43" s="2"/>
      <c r="C43" s="24"/>
    </row>
  </sheetData>
  <sheetProtection/>
  <printOptions/>
  <pageMargins left="0.97" right="0.88" top="0.68" bottom="0.72" header="0.3" footer="0.27"/>
  <pageSetup orientation="landscape" paperSize="9" r:id="rId2"/>
  <headerFooter alignWithMargins="0">
    <oddHeader>&amp;CПрибуток по постачальниках
за &amp;F&amp;RТОВ"Автопневмотех"
Код за ЄДРПОУ 25163861</oddHeader>
    <oddFooter>&amp;RСтор.&amp;P
Всього &amp;Nстор.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N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5.00390625" style="0" bestFit="1" customWidth="1"/>
    <col min="2" max="2" width="5.50390625" style="6" bestFit="1" customWidth="1"/>
    <col min="3" max="3" width="16.125" style="13" bestFit="1" customWidth="1"/>
    <col min="4" max="4" width="21.375" style="13" bestFit="1" customWidth="1"/>
    <col min="5" max="6" width="7.625" style="13" customWidth="1"/>
    <col min="7" max="7" width="9.125" style="14" customWidth="1"/>
    <col min="8" max="8" width="9.125" style="1" customWidth="1"/>
    <col min="9" max="9" width="9.125" style="14" customWidth="1"/>
    <col min="10" max="10" width="9.125" style="1" customWidth="1"/>
    <col min="11" max="11" width="9.125" style="14" customWidth="1"/>
    <col min="12" max="12" width="9.125" style="1" customWidth="1"/>
    <col min="13" max="13" width="9.125" style="14" customWidth="1"/>
    <col min="14" max="14" width="9.125" style="1" customWidth="1"/>
    <col min="16" max="16" width="9.125" style="1" customWidth="1"/>
  </cols>
  <sheetData>
    <row r="1" spans="1:14" ht="41.25" customHeight="1">
      <c r="A1" s="58" t="s">
        <v>10</v>
      </c>
      <c r="B1" s="59" t="s">
        <v>29</v>
      </c>
      <c r="C1" s="60" t="s">
        <v>24</v>
      </c>
      <c r="D1" s="60" t="s">
        <v>3</v>
      </c>
      <c r="E1" s="60" t="s">
        <v>30</v>
      </c>
      <c r="F1" s="52" t="s">
        <v>129</v>
      </c>
      <c r="G1" s="53" t="s">
        <v>31</v>
      </c>
      <c r="H1" s="46" t="s">
        <v>32</v>
      </c>
      <c r="I1" s="56" t="s">
        <v>33</v>
      </c>
      <c r="J1" s="57" t="s">
        <v>34</v>
      </c>
      <c r="K1" s="56" t="s">
        <v>35</v>
      </c>
      <c r="L1" s="46" t="s">
        <v>36</v>
      </c>
      <c r="M1" s="53" t="s">
        <v>31</v>
      </c>
      <c r="N1" s="46" t="s">
        <v>32</v>
      </c>
    </row>
    <row r="2" spans="1:14" ht="12.75">
      <c r="A2" s="58">
        <v>209</v>
      </c>
      <c r="B2" s="59" t="s">
        <v>297</v>
      </c>
      <c r="C2" s="61" t="s">
        <v>224</v>
      </c>
      <c r="D2" s="60" t="s">
        <v>296</v>
      </c>
      <c r="E2" s="60" t="s">
        <v>298</v>
      </c>
      <c r="F2" s="54">
        <f>(H2+J2)/(G2+I2)</f>
        <v>30</v>
      </c>
      <c r="G2" s="55">
        <v>0</v>
      </c>
      <c r="H2" s="28">
        <v>0</v>
      </c>
      <c r="I2" s="56">
        <v>10</v>
      </c>
      <c r="J2" s="57">
        <v>300</v>
      </c>
      <c r="K2" s="56">
        <v>1</v>
      </c>
      <c r="L2" s="28">
        <f>F2*K2</f>
        <v>30</v>
      </c>
      <c r="M2" s="55">
        <f>SUM(G2+I2-K2)</f>
        <v>9</v>
      </c>
      <c r="N2" s="28">
        <f>SUM(H2+J2-L2)</f>
        <v>270</v>
      </c>
    </row>
  </sheetData>
  <sheetProtection/>
  <printOptions/>
  <pageMargins left="0.63" right="0.29" top="0.84" bottom="0.78" header="0.34" footer="0.42"/>
  <pageSetup orientation="landscape" paperSize="9" r:id="rId2"/>
  <headerFooter alignWithMargins="0">
    <oddHeader>&amp;CЗапаси за &amp;Fр.&amp;RТОВ"Автопневмотех"
Код за ЄДРПОУ 25163861</oddHeader>
    <oddFooter>&amp;RСтор.&amp;P
Всього &amp;Nстор.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Золотухин</dc:creator>
  <cp:keywords/>
  <dc:description/>
  <cp:lastModifiedBy>Пользователь Windows</cp:lastModifiedBy>
  <cp:lastPrinted>2017-05-21T11:57:32Z</cp:lastPrinted>
  <dcterms:created xsi:type="dcterms:W3CDTF">2001-03-13T18:47:11Z</dcterms:created>
  <dcterms:modified xsi:type="dcterms:W3CDTF">2020-03-06T08:15:59Z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